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5480" windowHeight="9435"/>
  </bookViews>
  <sheets>
    <sheet name="дума 30.09.19." sheetId="9" r:id="rId1"/>
    <sheet name="Лист1" sheetId="10" r:id="rId2"/>
  </sheets>
  <definedNames>
    <definedName name="_xlnm.Print_Area" localSheetId="0">'дума 30.09.19.'!$A$2:$R$92</definedName>
    <definedName name="_xlnm.Print_Area" localSheetId="1">Лист1!$A$1:$R$86</definedName>
  </definedNames>
  <calcPr calcId="124519"/>
</workbook>
</file>

<file path=xl/calcChain.xml><?xml version="1.0" encoding="utf-8"?>
<calcChain xmlns="http://schemas.openxmlformats.org/spreadsheetml/2006/main">
  <c r="Q41" i="9"/>
  <c r="P41"/>
  <c r="Q36"/>
  <c r="P36"/>
  <c r="N21"/>
  <c r="P10"/>
  <c r="N10"/>
  <c r="R86" i="10"/>
  <c r="S85"/>
  <c r="R85"/>
  <c r="S84"/>
  <c r="R84"/>
  <c r="S83"/>
  <c r="R83"/>
  <c r="T82"/>
  <c r="Q82"/>
  <c r="P82"/>
  <c r="O82"/>
  <c r="N82"/>
  <c r="M82"/>
  <c r="L82"/>
  <c r="K82"/>
  <c r="J82"/>
  <c r="T83"/>
  <c r="I82"/>
  <c r="H82"/>
  <c r="G82"/>
  <c r="F82"/>
  <c r="E82"/>
  <c r="D82"/>
  <c r="R82"/>
  <c r="R81"/>
  <c r="H81"/>
  <c r="R80"/>
  <c r="H80"/>
  <c r="R79"/>
  <c r="H79"/>
  <c r="R78"/>
  <c r="H78"/>
  <c r="Q77"/>
  <c r="P77"/>
  <c r="N77"/>
  <c r="L77"/>
  <c r="J77"/>
  <c r="I77"/>
  <c r="G77"/>
  <c r="H77"/>
  <c r="F77"/>
  <c r="E77"/>
  <c r="D77"/>
  <c r="R77"/>
  <c r="R76"/>
  <c r="H76"/>
  <c r="R75"/>
  <c r="H75"/>
  <c r="R74"/>
  <c r="H74"/>
  <c r="R73"/>
  <c r="H73"/>
  <c r="Q72"/>
  <c r="P72"/>
  <c r="N72"/>
  <c r="L72"/>
  <c r="J72"/>
  <c r="I72"/>
  <c r="G72"/>
  <c r="F72"/>
  <c r="H72"/>
  <c r="E72"/>
  <c r="D72"/>
  <c r="R71"/>
  <c r="H71"/>
  <c r="R70"/>
  <c r="H70"/>
  <c r="R69"/>
  <c r="H69"/>
  <c r="R68"/>
  <c r="H68"/>
  <c r="Q67"/>
  <c r="P67"/>
  <c r="N67"/>
  <c r="L67"/>
  <c r="J67"/>
  <c r="I67"/>
  <c r="G67"/>
  <c r="H67"/>
  <c r="F67"/>
  <c r="E67"/>
  <c r="D67"/>
  <c r="R67"/>
  <c r="R66"/>
  <c r="H66"/>
  <c r="S65"/>
  <c r="Q65"/>
  <c r="P65"/>
  <c r="N65"/>
  <c r="L65"/>
  <c r="I65"/>
  <c r="R65"/>
  <c r="F65"/>
  <c r="H65"/>
  <c r="E65"/>
  <c r="S64"/>
  <c r="O64"/>
  <c r="N64"/>
  <c r="M64"/>
  <c r="I64"/>
  <c r="R64"/>
  <c r="H64"/>
  <c r="R63"/>
  <c r="H63"/>
  <c r="Q62"/>
  <c r="P62"/>
  <c r="N62"/>
  <c r="L62"/>
  <c r="J62"/>
  <c r="G62"/>
  <c r="E62"/>
  <c r="D62"/>
  <c r="R61"/>
  <c r="H61"/>
  <c r="Q60"/>
  <c r="Q57"/>
  <c r="P60"/>
  <c r="H60"/>
  <c r="R59"/>
  <c r="H59"/>
  <c r="R58"/>
  <c r="H58"/>
  <c r="P57"/>
  <c r="N57"/>
  <c r="L57"/>
  <c r="J57"/>
  <c r="I57"/>
  <c r="G57"/>
  <c r="H57"/>
  <c r="F57"/>
  <c r="E57"/>
  <c r="D57"/>
  <c r="R56"/>
  <c r="H56"/>
  <c r="R55"/>
  <c r="H55"/>
  <c r="R54"/>
  <c r="H54"/>
  <c r="R53"/>
  <c r="H53"/>
  <c r="Q52"/>
  <c r="P52"/>
  <c r="N52"/>
  <c r="L52"/>
  <c r="J52"/>
  <c r="G52"/>
  <c r="F52"/>
  <c r="H52"/>
  <c r="E52"/>
  <c r="D52"/>
  <c r="R52"/>
  <c r="R51"/>
  <c r="H51"/>
  <c r="Q50"/>
  <c r="Q47"/>
  <c r="P50"/>
  <c r="R50"/>
  <c r="H50"/>
  <c r="R49"/>
  <c r="H49"/>
  <c r="R48"/>
  <c r="H48"/>
  <c r="P47"/>
  <c r="N47"/>
  <c r="L47"/>
  <c r="J47"/>
  <c r="I47"/>
  <c r="G47"/>
  <c r="F47"/>
  <c r="E47"/>
  <c r="D47"/>
  <c r="R46"/>
  <c r="H46"/>
  <c r="R45"/>
  <c r="H45"/>
  <c r="R44"/>
  <c r="H44"/>
  <c r="R43"/>
  <c r="H43"/>
  <c r="Q42"/>
  <c r="P42"/>
  <c r="N42"/>
  <c r="L42"/>
  <c r="J42"/>
  <c r="I42"/>
  <c r="G42"/>
  <c r="F42"/>
  <c r="H42"/>
  <c r="E42"/>
  <c r="D42"/>
  <c r="R42"/>
  <c r="R41"/>
  <c r="H41"/>
  <c r="R40"/>
  <c r="H40"/>
  <c r="R39"/>
  <c r="H39"/>
  <c r="S38"/>
  <c r="R38"/>
  <c r="H38"/>
  <c r="Q37"/>
  <c r="P37"/>
  <c r="N37"/>
  <c r="L37"/>
  <c r="J37"/>
  <c r="I37"/>
  <c r="G37"/>
  <c r="H37"/>
  <c r="F37"/>
  <c r="E37"/>
  <c r="D37"/>
  <c r="R37"/>
  <c r="R36"/>
  <c r="H36"/>
  <c r="S35"/>
  <c r="R35"/>
  <c r="H35"/>
  <c r="S34"/>
  <c r="R34"/>
  <c r="H34"/>
  <c r="R33"/>
  <c r="H33"/>
  <c r="T32"/>
  <c r="Q32"/>
  <c r="P32"/>
  <c r="N32"/>
  <c r="L32"/>
  <c r="J32"/>
  <c r="I32"/>
  <c r="G32"/>
  <c r="F32"/>
  <c r="E32"/>
  <c r="D32"/>
  <c r="S32"/>
  <c r="U32"/>
  <c r="R31"/>
  <c r="H31"/>
  <c r="S30"/>
  <c r="Q30"/>
  <c r="P30"/>
  <c r="N30"/>
  <c r="L30"/>
  <c r="I30"/>
  <c r="R30"/>
  <c r="F30"/>
  <c r="H30"/>
  <c r="H10"/>
  <c r="E30"/>
  <c r="S29"/>
  <c r="Q29"/>
  <c r="Q27"/>
  <c r="P29"/>
  <c r="O29"/>
  <c r="N29"/>
  <c r="N27"/>
  <c r="M29"/>
  <c r="L29"/>
  <c r="L27"/>
  <c r="L7"/>
  <c r="L5"/>
  <c r="I29"/>
  <c r="R29"/>
  <c r="F29"/>
  <c r="H29"/>
  <c r="H9"/>
  <c r="E29"/>
  <c r="E27"/>
  <c r="S28"/>
  <c r="R28"/>
  <c r="H28"/>
  <c r="T27"/>
  <c r="P27"/>
  <c r="J27"/>
  <c r="T28"/>
  <c r="G27"/>
  <c r="D27"/>
  <c r="R26"/>
  <c r="H26"/>
  <c r="R25"/>
  <c r="H25"/>
  <c r="R24"/>
  <c r="R23"/>
  <c r="H23"/>
  <c r="U22"/>
  <c r="Q22"/>
  <c r="P22"/>
  <c r="N22"/>
  <c r="L22"/>
  <c r="J22"/>
  <c r="I22"/>
  <c r="G22"/>
  <c r="F22"/>
  <c r="E22"/>
  <c r="D22"/>
  <c r="R22"/>
  <c r="R21"/>
  <c r="H21"/>
  <c r="R20"/>
  <c r="H20"/>
  <c r="R19"/>
  <c r="H19"/>
  <c r="R18"/>
  <c r="H18"/>
  <c r="U17"/>
  <c r="Q17"/>
  <c r="P17"/>
  <c r="N17"/>
  <c r="L17"/>
  <c r="J17"/>
  <c r="I17"/>
  <c r="G17"/>
  <c r="F17"/>
  <c r="H17"/>
  <c r="E17"/>
  <c r="D17"/>
  <c r="R16"/>
  <c r="H16"/>
  <c r="U15"/>
  <c r="R15"/>
  <c r="H15"/>
  <c r="R14"/>
  <c r="H14"/>
  <c r="R13"/>
  <c r="H13"/>
  <c r="U12"/>
  <c r="Q12"/>
  <c r="P12"/>
  <c r="N12"/>
  <c r="L12"/>
  <c r="J12"/>
  <c r="I12"/>
  <c r="G12"/>
  <c r="H12"/>
  <c r="F12"/>
  <c r="E12"/>
  <c r="D12"/>
  <c r="Q11"/>
  <c r="P11"/>
  <c r="N11"/>
  <c r="O11"/>
  <c r="L11"/>
  <c r="M11"/>
  <c r="K11"/>
  <c r="J11"/>
  <c r="I11"/>
  <c r="H11"/>
  <c r="G11"/>
  <c r="F11"/>
  <c r="E11"/>
  <c r="D11"/>
  <c r="U10"/>
  <c r="Q10"/>
  <c r="P10"/>
  <c r="O10"/>
  <c r="N10"/>
  <c r="L10"/>
  <c r="J10"/>
  <c r="I10"/>
  <c r="G10"/>
  <c r="F10"/>
  <c r="E10"/>
  <c r="D10"/>
  <c r="U9"/>
  <c r="T9"/>
  <c r="Q9"/>
  <c r="P9"/>
  <c r="O9"/>
  <c r="N9"/>
  <c r="L9"/>
  <c r="J9"/>
  <c r="T8"/>
  <c r="I9"/>
  <c r="G9"/>
  <c r="F9"/>
  <c r="E9"/>
  <c r="D9"/>
  <c r="R9"/>
  <c r="Q8"/>
  <c r="P8"/>
  <c r="N8"/>
  <c r="O8"/>
  <c r="L8"/>
  <c r="M8"/>
  <c r="K8"/>
  <c r="J8"/>
  <c r="I8"/>
  <c r="H8"/>
  <c r="G8"/>
  <c r="F8"/>
  <c r="E8"/>
  <c r="D8"/>
  <c r="U7"/>
  <c r="P7"/>
  <c r="O7"/>
  <c r="O5"/>
  <c r="M7"/>
  <c r="K7"/>
  <c r="J7"/>
  <c r="J5"/>
  <c r="G7"/>
  <c r="D7"/>
  <c r="D5"/>
  <c r="S6"/>
  <c r="S5"/>
  <c r="M5"/>
  <c r="G5"/>
  <c r="Q4"/>
  <c r="P4"/>
  <c r="P5"/>
  <c r="N4"/>
  <c r="K4"/>
  <c r="K5"/>
  <c r="H4"/>
  <c r="Q10" i="9"/>
  <c r="N16"/>
  <c r="N15"/>
  <c r="S35"/>
  <c r="Q71"/>
  <c r="P71"/>
  <c r="L71"/>
  <c r="Q35"/>
  <c r="Q15"/>
  <c r="P35"/>
  <c r="P15"/>
  <c r="S34"/>
  <c r="L36"/>
  <c r="L35"/>
  <c r="L33"/>
  <c r="R92"/>
  <c r="R91"/>
  <c r="R90"/>
  <c r="R89"/>
  <c r="R87"/>
  <c r="R86"/>
  <c r="R85"/>
  <c r="R84"/>
  <c r="R82"/>
  <c r="R81"/>
  <c r="R80"/>
  <c r="R79"/>
  <c r="R77"/>
  <c r="R76"/>
  <c r="R75"/>
  <c r="R74"/>
  <c r="R72"/>
  <c r="R69"/>
  <c r="R67"/>
  <c r="R65"/>
  <c r="R64"/>
  <c r="R62"/>
  <c r="R61"/>
  <c r="R60"/>
  <c r="R59"/>
  <c r="R57"/>
  <c r="R55"/>
  <c r="R54"/>
  <c r="R52"/>
  <c r="R51"/>
  <c r="R50"/>
  <c r="R49"/>
  <c r="R47"/>
  <c r="R46"/>
  <c r="R45"/>
  <c r="R44"/>
  <c r="R42"/>
  <c r="R41"/>
  <c r="R40"/>
  <c r="R39"/>
  <c r="R37"/>
  <c r="R34"/>
  <c r="R32"/>
  <c r="R31"/>
  <c r="R30"/>
  <c r="R29"/>
  <c r="R27"/>
  <c r="R26"/>
  <c r="R25"/>
  <c r="R24"/>
  <c r="R22"/>
  <c r="R21"/>
  <c r="R20"/>
  <c r="R19"/>
  <c r="L68"/>
  <c r="J17"/>
  <c r="J16"/>
  <c r="J15"/>
  <c r="J14"/>
  <c r="Q88"/>
  <c r="Q83"/>
  <c r="Q78"/>
  <c r="Q73"/>
  <c r="Q68"/>
  <c r="Q66"/>
  <c r="Q63"/>
  <c r="R63"/>
  <c r="Q58"/>
  <c r="Q56"/>
  <c r="Q16"/>
  <c r="Q48"/>
  <c r="Q43"/>
  <c r="Q38"/>
  <c r="Q33"/>
  <c r="Q28"/>
  <c r="Q23"/>
  <c r="Q18"/>
  <c r="Q17"/>
  <c r="Q14"/>
  <c r="P88"/>
  <c r="O88"/>
  <c r="N88"/>
  <c r="M88"/>
  <c r="L88"/>
  <c r="K88"/>
  <c r="J88"/>
  <c r="T89"/>
  <c r="I88"/>
  <c r="H88"/>
  <c r="G88"/>
  <c r="D88"/>
  <c r="R88"/>
  <c r="S91"/>
  <c r="S90"/>
  <c r="E88"/>
  <c r="S89"/>
  <c r="T88"/>
  <c r="F88"/>
  <c r="O13"/>
  <c r="O16"/>
  <c r="M70"/>
  <c r="N68"/>
  <c r="O70"/>
  <c r="P68"/>
  <c r="P33"/>
  <c r="T14"/>
  <c r="L23"/>
  <c r="M35"/>
  <c r="O35"/>
  <c r="O15"/>
  <c r="G16"/>
  <c r="D16"/>
  <c r="H32"/>
  <c r="H31"/>
  <c r="H29"/>
  <c r="U28"/>
  <c r="P28"/>
  <c r="N28"/>
  <c r="L28"/>
  <c r="J28"/>
  <c r="I28"/>
  <c r="G28"/>
  <c r="F28"/>
  <c r="H28"/>
  <c r="E28"/>
  <c r="D28"/>
  <c r="R28"/>
  <c r="I83"/>
  <c r="I78"/>
  <c r="I73"/>
  <c r="I71"/>
  <c r="R71"/>
  <c r="I70"/>
  <c r="R70"/>
  <c r="I63"/>
  <c r="I53"/>
  <c r="I48"/>
  <c r="I43"/>
  <c r="I38"/>
  <c r="I36"/>
  <c r="R36"/>
  <c r="I35"/>
  <c r="R35"/>
  <c r="I23"/>
  <c r="I18"/>
  <c r="I17"/>
  <c r="I14"/>
  <c r="K13"/>
  <c r="K17"/>
  <c r="K14"/>
  <c r="K10"/>
  <c r="K11"/>
  <c r="O11"/>
  <c r="M13"/>
  <c r="M11"/>
  <c r="G33"/>
  <c r="G38"/>
  <c r="N38"/>
  <c r="H87"/>
  <c r="H86"/>
  <c r="H85"/>
  <c r="H84"/>
  <c r="P83"/>
  <c r="N83"/>
  <c r="L83"/>
  <c r="J83"/>
  <c r="G83"/>
  <c r="H83"/>
  <c r="F83"/>
  <c r="E83"/>
  <c r="D83"/>
  <c r="R83"/>
  <c r="H82"/>
  <c r="H81"/>
  <c r="H80"/>
  <c r="H79"/>
  <c r="N78"/>
  <c r="L78"/>
  <c r="J78"/>
  <c r="G78"/>
  <c r="H78"/>
  <c r="F78"/>
  <c r="E78"/>
  <c r="D78"/>
  <c r="H77"/>
  <c r="H76"/>
  <c r="H75"/>
  <c r="H74"/>
  <c r="N73"/>
  <c r="L73"/>
  <c r="J73"/>
  <c r="G73"/>
  <c r="H73"/>
  <c r="F73"/>
  <c r="E73"/>
  <c r="D73"/>
  <c r="H72"/>
  <c r="S71"/>
  <c r="F71"/>
  <c r="H71"/>
  <c r="E71"/>
  <c r="E68"/>
  <c r="S70"/>
  <c r="H70"/>
  <c r="H69"/>
  <c r="G68"/>
  <c r="D68"/>
  <c r="H67"/>
  <c r="P66"/>
  <c r="R66"/>
  <c r="H66"/>
  <c r="H65"/>
  <c r="H64"/>
  <c r="N63"/>
  <c r="L63"/>
  <c r="J63"/>
  <c r="G63"/>
  <c r="H63"/>
  <c r="F63"/>
  <c r="E63"/>
  <c r="D63"/>
  <c r="H62"/>
  <c r="H61"/>
  <c r="H60"/>
  <c r="H59"/>
  <c r="P58"/>
  <c r="N58"/>
  <c r="L58"/>
  <c r="J58"/>
  <c r="G58"/>
  <c r="F58"/>
  <c r="H58"/>
  <c r="E58"/>
  <c r="D58"/>
  <c r="R58"/>
  <c r="H57"/>
  <c r="P56"/>
  <c r="R56"/>
  <c r="H56"/>
  <c r="H55"/>
  <c r="H54"/>
  <c r="N53"/>
  <c r="L53"/>
  <c r="J53"/>
  <c r="G53"/>
  <c r="F53"/>
  <c r="H53"/>
  <c r="E53"/>
  <c r="D53"/>
  <c r="H52"/>
  <c r="H51"/>
  <c r="H50"/>
  <c r="H49"/>
  <c r="N48"/>
  <c r="L48"/>
  <c r="J48"/>
  <c r="G48"/>
  <c r="H48"/>
  <c r="F48"/>
  <c r="E48"/>
  <c r="D48"/>
  <c r="H47"/>
  <c r="H46"/>
  <c r="H45"/>
  <c r="S44"/>
  <c r="H44"/>
  <c r="N43"/>
  <c r="L43"/>
  <c r="J43"/>
  <c r="G43"/>
  <c r="H43"/>
  <c r="F43"/>
  <c r="E43"/>
  <c r="D43"/>
  <c r="R43"/>
  <c r="H42"/>
  <c r="S41"/>
  <c r="H41"/>
  <c r="S40"/>
  <c r="P38"/>
  <c r="H40"/>
  <c r="H39"/>
  <c r="T38"/>
  <c r="L38"/>
  <c r="J38"/>
  <c r="F38"/>
  <c r="H38"/>
  <c r="E38"/>
  <c r="D38"/>
  <c r="R38"/>
  <c r="H37"/>
  <c r="S36"/>
  <c r="F36"/>
  <c r="F16"/>
  <c r="E36"/>
  <c r="E16"/>
  <c r="F35"/>
  <c r="H35"/>
  <c r="E35"/>
  <c r="E33"/>
  <c r="H34"/>
  <c r="T33"/>
  <c r="N33"/>
  <c r="D33"/>
  <c r="H27"/>
  <c r="H26"/>
  <c r="H25"/>
  <c r="H24"/>
  <c r="U23"/>
  <c r="N23"/>
  <c r="G23"/>
  <c r="F23"/>
  <c r="H23"/>
  <c r="E23"/>
  <c r="D23"/>
  <c r="H22"/>
  <c r="H17"/>
  <c r="U21"/>
  <c r="H21"/>
  <c r="H16"/>
  <c r="H20"/>
  <c r="H15"/>
  <c r="H19"/>
  <c r="H14"/>
  <c r="U18"/>
  <c r="P18"/>
  <c r="N18"/>
  <c r="L18"/>
  <c r="J18"/>
  <c r="G18"/>
  <c r="G13"/>
  <c r="F18"/>
  <c r="E18"/>
  <c r="E13"/>
  <c r="D18"/>
  <c r="P17"/>
  <c r="N17"/>
  <c r="O17"/>
  <c r="L17"/>
  <c r="M17"/>
  <c r="G17"/>
  <c r="F17"/>
  <c r="E17"/>
  <c r="D17"/>
  <c r="R17"/>
  <c r="U16"/>
  <c r="U15"/>
  <c r="G15"/>
  <c r="D15"/>
  <c r="S15"/>
  <c r="P14"/>
  <c r="N14"/>
  <c r="O14"/>
  <c r="L14"/>
  <c r="M14"/>
  <c r="G14"/>
  <c r="S14"/>
  <c r="F14"/>
  <c r="E14"/>
  <c r="D14"/>
  <c r="R14"/>
  <c r="U13"/>
  <c r="S12"/>
  <c r="S11"/>
  <c r="P53"/>
  <c r="P63"/>
  <c r="P78"/>
  <c r="J23"/>
  <c r="F68"/>
  <c r="H68"/>
  <c r="P73"/>
  <c r="R73"/>
  <c r="P43"/>
  <c r="P48"/>
  <c r="I15"/>
  <c r="P23"/>
  <c r="R23"/>
  <c r="I68"/>
  <c r="S43"/>
  <c r="S45"/>
  <c r="F15"/>
  <c r="E15"/>
  <c r="J68"/>
  <c r="I16"/>
  <c r="J33"/>
  <c r="T34"/>
  <c r="T15"/>
  <c r="L15"/>
  <c r="H36"/>
  <c r="L16"/>
  <c r="S88"/>
  <c r="R18"/>
  <c r="L13"/>
  <c r="L11"/>
  <c r="D13"/>
  <c r="S33"/>
  <c r="F33"/>
  <c r="S17"/>
  <c r="I33"/>
  <c r="R33"/>
  <c r="H33"/>
  <c r="F13"/>
  <c r="F11"/>
  <c r="D11"/>
  <c r="I13"/>
  <c r="I11"/>
  <c r="R68"/>
  <c r="R48"/>
  <c r="S9" i="10"/>
  <c r="R10"/>
  <c r="R11"/>
  <c r="H22"/>
  <c r="R60"/>
  <c r="R8"/>
  <c r="R12"/>
  <c r="R17"/>
  <c r="E7"/>
  <c r="H32"/>
  <c r="R47"/>
  <c r="H47"/>
  <c r="R72"/>
  <c r="N7"/>
  <c r="N5"/>
  <c r="T29"/>
  <c r="S10"/>
  <c r="S27"/>
  <c r="R32"/>
  <c r="S82"/>
  <c r="S8"/>
  <c r="S11"/>
  <c r="I27"/>
  <c r="R27"/>
  <c r="F62"/>
  <c r="I62"/>
  <c r="R62"/>
  <c r="S37"/>
  <c r="S39"/>
  <c r="H62"/>
  <c r="G11" i="9"/>
  <c r="H10"/>
  <c r="Q7" i="10"/>
  <c r="Q5"/>
  <c r="R57"/>
  <c r="I7"/>
  <c r="H18" i="9"/>
  <c r="H13"/>
  <c r="F27" i="10"/>
  <c r="H27"/>
  <c r="H7"/>
  <c r="F7"/>
  <c r="I5"/>
  <c r="S7"/>
  <c r="R7"/>
  <c r="T7"/>
  <c r="F5"/>
  <c r="V7"/>
  <c r="T35" i="9"/>
  <c r="N13"/>
  <c r="N11"/>
  <c r="R78"/>
  <c r="J13"/>
  <c r="P13"/>
  <c r="P11"/>
  <c r="P16"/>
  <c r="R15"/>
  <c r="S38"/>
  <c r="U38"/>
  <c r="Q53"/>
  <c r="Q13"/>
  <c r="Q11"/>
  <c r="R53"/>
  <c r="S16"/>
  <c r="R16"/>
  <c r="J11"/>
  <c r="S13"/>
  <c r="R13"/>
  <c r="V13"/>
  <c r="T13"/>
</calcChain>
</file>

<file path=xl/comments1.xml><?xml version="1.0" encoding="utf-8"?>
<comments xmlns="http://schemas.openxmlformats.org/spreadsheetml/2006/main">
  <authors>
    <author>User2306</author>
    <author>User</author>
    <author>Светлана</author>
  </authors>
  <commentList>
    <comment ref="I2" authorId="0">
      <text>
        <r>
          <rPr>
            <b/>
            <sz val="8"/>
            <color indexed="81"/>
            <rFont val="Tahoma"/>
            <family val="2"/>
            <charset val="204"/>
          </rPr>
          <t>User2306: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0" authorId="1">
      <text>
        <r>
          <rPr>
            <b/>
            <sz val="12"/>
            <color indexed="81"/>
            <rFont val="Tahoma"/>
            <family val="2"/>
            <charset val="204"/>
          </rPr>
          <t>User:</t>
        </r>
        <r>
          <rPr>
            <sz val="12"/>
            <color indexed="81"/>
            <rFont val="Tahoma"/>
            <family val="2"/>
            <charset val="204"/>
          </rPr>
          <t xml:space="preserve">
КАССОВЫЕ РАСХОДЫ делали в июне 2017 г.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12" authorId="2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без изменений думой декабря</t>
        </r>
      </text>
    </comment>
    <comment ref="J12" authorId="2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кассовый расход за 2017 год</t>
        </r>
      </text>
    </comment>
    <comment ref="I25" authorId="2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вместе с зарплатой сектора опеки 
</t>
        </r>
      </text>
    </comment>
    <comment ref="J35" authorId="2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госстандарт, выравнивание, компенс-я род пл за минусом ср 2</t>
        </r>
      </text>
    </comment>
    <comment ref="L71" authorId="2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мест бюджет и с Б (МЦП физ-ры не надо)</t>
        </r>
      </text>
    </comment>
  </commentList>
</comments>
</file>

<file path=xl/comments2.xml><?xml version="1.0" encoding="utf-8"?>
<comments xmlns="http://schemas.openxmlformats.org/spreadsheetml/2006/main">
  <authors>
    <author>User</author>
    <author>Светлана</author>
  </authors>
  <commentList>
    <comment ref="I4" authorId="0">
      <text>
        <r>
          <rPr>
            <b/>
            <sz val="12"/>
            <color indexed="81"/>
            <rFont val="Tahoma"/>
            <family val="2"/>
            <charset val="204"/>
          </rPr>
          <t>User:</t>
        </r>
        <r>
          <rPr>
            <sz val="12"/>
            <color indexed="81"/>
            <rFont val="Tahoma"/>
            <family val="2"/>
            <charset val="204"/>
          </rPr>
          <t xml:space="preserve">
КАССОВЫЕ РАСХОДЫ делали в июне 2017 г.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D6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без изменений думой декабря</t>
        </r>
      </text>
    </comment>
    <comment ref="J6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кассовый расход за 2017 год</t>
        </r>
      </text>
    </comment>
    <comment ref="I19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вместе с зарплатой сектора опеки 
</t>
        </r>
      </text>
    </comment>
    <comment ref="J29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госстандарт, выравнивание, компенс-я род пл за минусом ср 2</t>
        </r>
      </text>
    </comment>
    <comment ref="L65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мест бюджет и с Б (МЦП физ-ры не надо)</t>
        </r>
      </text>
    </comment>
  </commentList>
</comments>
</file>

<file path=xl/sharedStrings.xml><?xml version="1.0" encoding="utf-8"?>
<sst xmlns="http://schemas.openxmlformats.org/spreadsheetml/2006/main" count="272" uniqueCount="49">
  <si>
    <t>Статус</t>
  </si>
  <si>
    <t>Источники финансирования</t>
  </si>
  <si>
    <t>федеральный бюджет</t>
  </si>
  <si>
    <t>областной бюджет</t>
  </si>
  <si>
    <t xml:space="preserve">иные внебюджетные источники  </t>
  </si>
  <si>
    <t>2014 год</t>
  </si>
  <si>
    <t>всего</t>
  </si>
  <si>
    <t>Наименование государственной программы, областной целевой программы, отдельного мероприятия</t>
  </si>
  <si>
    <t xml:space="preserve">Муниципальная программа </t>
  </si>
  <si>
    <t>городской бюджет</t>
  </si>
  <si>
    <t>2016 год</t>
  </si>
  <si>
    <t>Подпрограмма</t>
  </si>
  <si>
    <t>2017 год</t>
  </si>
  <si>
    <t>2018 год</t>
  </si>
  <si>
    <t>Мероприятия</t>
  </si>
  <si>
    <t>Мероприятия на организацию каникулярного отдыха детей в городе Вятские Поляны</t>
  </si>
  <si>
    <t>Мероприятия на содержание по развитию муниципальной системы общего образования в городе Вятские Поляны</t>
  </si>
  <si>
    <t>Мероприятия на содержание по развитию муниципальной системы дополнительного образования в городе Вятские Поляны</t>
  </si>
  <si>
    <t>Мероприятия на содержание по развитию деятельности управления образования администрации города Вятские Поляны</t>
  </si>
  <si>
    <t>Мероприятия на содержание дошкольного образования в муниципальных дошкольных учреждениях города Вятские Поляны</t>
  </si>
  <si>
    <t xml:space="preserve"> Меропрятия на развитие организации отдыха детей в загородном лагере «Солнечный» г. Вятские Поляны</t>
  </si>
  <si>
    <t xml:space="preserve">«Развитие образования» на 2014 – 2018 годы </t>
  </si>
  <si>
    <t xml:space="preserve"> Мероприятия в виде субсидии на развитие организации отдыха детей в Муниципальном казенном предприятии Загородный стационарный лагерь "Солнечный" города Вятские Поляны</t>
  </si>
  <si>
    <t xml:space="preserve"> </t>
  </si>
  <si>
    <t>После думы 26.05.2015 г</t>
  </si>
  <si>
    <t>Отклонение по 2015 году</t>
  </si>
  <si>
    <t xml:space="preserve"> Мероприятия в виде субсидии на финансовое обеспечение выполнения муниципального задания на оказание муниципальных услуг Муниципальному бюджетному общеобразовательному учреждению для обучающихся, воспитанников с ограниченными возможностями здоровья специальной (коррекционной) общеобразовательной школы VIII вида города Вятские Поляны </t>
  </si>
  <si>
    <t>2015 год</t>
  </si>
  <si>
    <t>Мероприятия по организации питания в муниципальных образовательных организациях города Вятские Поляны</t>
  </si>
  <si>
    <t>Осуществление деятельности в связи с наделением органов местного самоуправления государственными полномочиями по осуществлению деятельности по опеке и попечительству</t>
  </si>
  <si>
    <t>Мероприятия в области занятости населения в городе Вятские Поляны</t>
  </si>
  <si>
    <t>2019 год</t>
  </si>
  <si>
    <t>2020 год</t>
  </si>
  <si>
    <t>Подпрограмма «Развитие системы образования города Вятские Поляны на 2014-2016 гг»</t>
  </si>
  <si>
    <t>Подпрограмма «Профилактика социального сиротства на 2014-2016 годы».</t>
  </si>
  <si>
    <t>Подпрограмма "Военно-патриотическое воспитание граждан города Вятские Поляны" на 2017-2020 годы</t>
  </si>
  <si>
    <t>Мероприятия, направленные на выполнение предписаний надзорных органорв и приведение зданий муниципальных общеобразовательных организаций города Вятские Поляны в соотвествие с требованиями, предъявляемыми к безопасности в процессе эксплуатации</t>
  </si>
  <si>
    <t>2021 год</t>
  </si>
  <si>
    <t>Всего:</t>
  </si>
  <si>
    <r>
      <rPr>
        <b/>
        <i/>
        <sz val="16"/>
        <rFont val="Times New Roman"/>
        <family val="1"/>
        <charset val="204"/>
      </rPr>
      <t>Прогнозная (справочная) оценка ресурсного обеспечения реализации муниципальной программы за счет всех источников финансирования</t>
    </r>
    <r>
      <rPr>
        <b/>
        <sz val="16"/>
        <rFont val="Times New Roman"/>
        <family val="1"/>
        <charset val="204"/>
      </rPr>
      <t xml:space="preserve">
</t>
    </r>
  </si>
  <si>
    <t>УТВЕРЖДЕНЫ</t>
  </si>
  <si>
    <t xml:space="preserve">постановлением администрации </t>
  </si>
  <si>
    <t>города Вятские Поляны</t>
  </si>
  <si>
    <t xml:space="preserve">от            _№  </t>
  </si>
  <si>
    <t xml:space="preserve">Приложение № 1 </t>
  </si>
  <si>
    <t>постановлением</t>
  </si>
  <si>
    <t>администрации города Вятские Поляны</t>
  </si>
  <si>
    <t xml:space="preserve">от 31.10.2019   №   1519   </t>
  </si>
  <si>
    <t>Приложение № 2</t>
  </si>
</sst>
</file>

<file path=xl/styles.xml><?xml version="1.0" encoding="utf-8"?>
<styleSheet xmlns="http://schemas.openxmlformats.org/spreadsheetml/2006/main">
  <numFmts count="14">
    <numFmt numFmtId="43" formatCode="_-* #,##0.00_р_._-;\-* #,##0.00_р_._-;_-* &quot;-&quot;??_р_._-;_-@_-"/>
    <numFmt numFmtId="164" formatCode="_(* #,##0.00_);_(* \(#,##0.00\);_(* &quot;-&quot;??_);_(@_)"/>
    <numFmt numFmtId="165" formatCode="_(* #,##0.000_);_(* \(#,##0.000\);_(* &quot;-&quot;??_);_(@_)"/>
    <numFmt numFmtId="166" formatCode="_(* #,##0.0_);_(* \(#,##0.0\);_(* &quot;-&quot;??_);_(@_)"/>
    <numFmt numFmtId="167" formatCode="_-* #,##0.0_р_._-;\-* #,##0.0_р_._-;_-* &quot;-&quot;?_р_._-;_-@_-"/>
    <numFmt numFmtId="168" formatCode="#,##0.0"/>
    <numFmt numFmtId="169" formatCode="#,##0.000"/>
    <numFmt numFmtId="170" formatCode="_-* #,##0.0_р_._-;\-* #,##0.0_р_._-;_-* &quot;-&quot;??_р_._-;_-@_-"/>
    <numFmt numFmtId="171" formatCode="#,##0.000_р_."/>
    <numFmt numFmtId="172" formatCode="_-* #,##0.0\ _₽_-;\-* #,##0.0\ _₽_-;_-* &quot;-&quot;?\ _₽_-;_-@_-"/>
    <numFmt numFmtId="173" formatCode="_-* #,##0.000_р_._-;\-* #,##0.000_р_._-;_-* &quot;-&quot;??_р_._-;_-@_-"/>
    <numFmt numFmtId="174" formatCode="#,##0.00\ _₽"/>
    <numFmt numFmtId="175" formatCode="#,##0.000\ _₽"/>
    <numFmt numFmtId="176" formatCode="#,##0.0\ _₽"/>
  </numFmts>
  <fonts count="34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i/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sz val="16"/>
      <color rgb="FFFF0000"/>
      <name val="Times New Roman"/>
      <family val="1"/>
      <charset val="204"/>
    </font>
    <font>
      <sz val="14"/>
      <color rgb="FF7030A0"/>
      <name val="Arial"/>
      <family val="2"/>
      <charset val="204"/>
    </font>
    <font>
      <b/>
      <sz val="16"/>
      <color rgb="FF7030A0"/>
      <name val="Times New Roman"/>
      <family val="1"/>
      <charset val="204"/>
    </font>
    <font>
      <sz val="16"/>
      <color rgb="FF7030A0"/>
      <name val="Times New Roman"/>
      <family val="1"/>
      <charset val="204"/>
    </font>
    <font>
      <i/>
      <sz val="16"/>
      <color rgb="FF7030A0"/>
      <name val="Times New Roman"/>
      <family val="1"/>
      <charset val="204"/>
    </font>
    <font>
      <sz val="10"/>
      <color rgb="FF7030A0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167" fontId="8" fillId="2" borderId="0" xfId="0" applyNumberFormat="1" applyFont="1" applyFill="1" applyAlignment="1">
      <alignment horizontal="right"/>
    </xf>
    <xf numFmtId="168" fontId="9" fillId="2" borderId="0" xfId="0" applyNumberFormat="1" applyFont="1" applyFill="1" applyAlignment="1">
      <alignment horizontal="right" wrapText="1"/>
    </xf>
    <xf numFmtId="168" fontId="10" fillId="2" borderId="1" xfId="0" applyNumberFormat="1" applyFont="1" applyFill="1" applyBorder="1" applyAlignment="1">
      <alignment horizontal="right" vertical="top" wrapText="1"/>
    </xf>
    <xf numFmtId="168" fontId="9" fillId="3" borderId="2" xfId="1" applyNumberFormat="1" applyFont="1" applyFill="1" applyBorder="1" applyAlignment="1">
      <alignment horizontal="right" vertical="top" wrapText="1"/>
    </xf>
    <xf numFmtId="168" fontId="10" fillId="3" borderId="2" xfId="1" applyNumberFormat="1" applyFont="1" applyFill="1" applyBorder="1" applyAlignment="1">
      <alignment horizontal="right" vertical="top" wrapText="1"/>
    </xf>
    <xf numFmtId="166" fontId="9" fillId="0" borderId="2" xfId="1" applyNumberFormat="1" applyFont="1" applyFill="1" applyBorder="1" applyAlignment="1">
      <alignment horizontal="right" vertical="top" wrapText="1"/>
    </xf>
    <xf numFmtId="166" fontId="10" fillId="0" borderId="2" xfId="1" applyNumberFormat="1" applyFont="1" applyFill="1" applyBorder="1" applyAlignment="1">
      <alignment horizontal="right" vertical="top" wrapText="1"/>
    </xf>
    <xf numFmtId="170" fontId="9" fillId="0" borderId="2" xfId="1" applyNumberFormat="1" applyFont="1" applyFill="1" applyBorder="1" applyAlignment="1">
      <alignment horizontal="right" vertical="top" wrapText="1"/>
    </xf>
    <xf numFmtId="170" fontId="10" fillId="0" borderId="2" xfId="1" applyNumberFormat="1" applyFont="1" applyFill="1" applyBorder="1" applyAlignment="1">
      <alignment horizontal="right" vertical="top" wrapText="1"/>
    </xf>
    <xf numFmtId="170" fontId="10" fillId="2" borderId="2" xfId="1" applyNumberFormat="1" applyFont="1" applyFill="1" applyBorder="1" applyAlignment="1">
      <alignment horizontal="right" vertical="top" wrapText="1"/>
    </xf>
    <xf numFmtId="166" fontId="10" fillId="2" borderId="2" xfId="1" applyNumberFormat="1" applyFont="1" applyFill="1" applyBorder="1" applyAlignment="1">
      <alignment horizontal="center" vertical="top" wrapText="1"/>
    </xf>
    <xf numFmtId="164" fontId="9" fillId="0" borderId="2" xfId="1" applyNumberFormat="1" applyFont="1" applyFill="1" applyBorder="1" applyAlignment="1">
      <alignment horizontal="right" vertical="top" wrapText="1"/>
    </xf>
    <xf numFmtId="166" fontId="10" fillId="2" borderId="2" xfId="1" applyNumberFormat="1" applyFont="1" applyFill="1" applyBorder="1" applyAlignment="1">
      <alignment horizontal="right" vertical="top" wrapText="1"/>
    </xf>
    <xf numFmtId="2" fontId="9" fillId="0" borderId="2" xfId="1" applyNumberFormat="1" applyFont="1" applyFill="1" applyBorder="1" applyAlignment="1">
      <alignment horizontal="right" vertical="top" wrapText="1"/>
    </xf>
    <xf numFmtId="2" fontId="10" fillId="0" borderId="2" xfId="1" applyNumberFormat="1" applyFont="1" applyFill="1" applyBorder="1" applyAlignment="1">
      <alignment horizontal="right" vertical="top" wrapText="1"/>
    </xf>
    <xf numFmtId="174" fontId="10" fillId="0" borderId="2" xfId="1" applyNumberFormat="1" applyFont="1" applyFill="1" applyBorder="1" applyAlignment="1">
      <alignment horizontal="right" vertical="top" wrapText="1"/>
    </xf>
    <xf numFmtId="164" fontId="10" fillId="0" borderId="2" xfId="1" applyNumberFormat="1" applyFont="1" applyFill="1" applyBorder="1" applyAlignment="1">
      <alignment horizontal="right" vertical="top" wrapText="1"/>
    </xf>
    <xf numFmtId="166" fontId="9" fillId="2" borderId="2" xfId="1" applyNumberFormat="1" applyFont="1" applyFill="1" applyBorder="1" applyAlignment="1">
      <alignment horizontal="right" vertical="top" wrapText="1"/>
    </xf>
    <xf numFmtId="168" fontId="9" fillId="0" borderId="2" xfId="1" applyNumberFormat="1" applyFont="1" applyFill="1" applyBorder="1" applyAlignment="1">
      <alignment horizontal="right" vertical="top" wrapText="1"/>
    </xf>
    <xf numFmtId="168" fontId="10" fillId="0" borderId="2" xfId="1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168" fontId="9" fillId="2" borderId="0" xfId="0" applyNumberFormat="1" applyFont="1" applyFill="1" applyAlignment="1">
      <alignment horizontal="center"/>
    </xf>
    <xf numFmtId="4" fontId="9" fillId="2" borderId="0" xfId="0" applyNumberFormat="1" applyFont="1" applyFill="1" applyAlignment="1">
      <alignment horizontal="center"/>
    </xf>
    <xf numFmtId="168" fontId="11" fillId="2" borderId="1" xfId="0" applyNumberFormat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168" fontId="9" fillId="4" borderId="2" xfId="1" applyNumberFormat="1" applyFont="1" applyFill="1" applyBorder="1" applyAlignment="1">
      <alignment horizontal="right" vertical="top" wrapText="1"/>
    </xf>
    <xf numFmtId="43" fontId="9" fillId="0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4" fontId="10" fillId="0" borderId="2" xfId="1" applyNumberFormat="1" applyFont="1" applyFill="1" applyBorder="1" applyAlignment="1">
      <alignment horizontal="right" vertical="top" wrapText="1"/>
    </xf>
    <xf numFmtId="0" fontId="12" fillId="2" borderId="0" xfId="0" applyFont="1" applyFill="1"/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10" fillId="2" borderId="0" xfId="0" applyFont="1" applyFill="1" applyAlignment="1">
      <alignment horizontal="center"/>
    </xf>
    <xf numFmtId="0" fontId="14" fillId="2" borderId="0" xfId="0" applyFont="1" applyFill="1"/>
    <xf numFmtId="167" fontId="9" fillId="2" borderId="0" xfId="0" applyNumberFormat="1" applyFont="1" applyFill="1" applyAlignment="1">
      <alignment horizontal="center"/>
    </xf>
    <xf numFmtId="4" fontId="9" fillId="2" borderId="0" xfId="0" applyNumberFormat="1" applyFont="1" applyFill="1" applyAlignment="1">
      <alignment horizontal="right"/>
    </xf>
    <xf numFmtId="169" fontId="9" fillId="2" borderId="0" xfId="0" applyNumberFormat="1" applyFont="1" applyFill="1" applyAlignment="1">
      <alignment horizontal="right"/>
    </xf>
    <xf numFmtId="169" fontId="9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67" fontId="11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167" fontId="11" fillId="0" borderId="1" xfId="0" applyNumberFormat="1" applyFont="1" applyFill="1" applyBorder="1" applyAlignment="1">
      <alignment vertical="top" wrapText="1"/>
    </xf>
    <xf numFmtId="169" fontId="11" fillId="2" borderId="1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top" wrapText="1"/>
    </xf>
    <xf numFmtId="168" fontId="9" fillId="3" borderId="2" xfId="1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vertical="top" wrapText="1"/>
    </xf>
    <xf numFmtId="169" fontId="9" fillId="3" borderId="2" xfId="1" applyNumberFormat="1" applyFont="1" applyFill="1" applyBorder="1" applyAlignment="1">
      <alignment horizontal="right" vertical="top" wrapText="1"/>
    </xf>
    <xf numFmtId="169" fontId="17" fillId="3" borderId="2" xfId="0" applyNumberFormat="1" applyFont="1" applyFill="1" applyBorder="1" applyAlignment="1">
      <alignment horizontal="right" vertical="center"/>
    </xf>
    <xf numFmtId="4" fontId="18" fillId="3" borderId="0" xfId="0" applyNumberFormat="1" applyFont="1" applyFill="1" applyAlignment="1">
      <alignment horizontal="left"/>
    </xf>
    <xf numFmtId="0" fontId="18" fillId="3" borderId="2" xfId="0" applyFont="1" applyFill="1" applyBorder="1"/>
    <xf numFmtId="168" fontId="19" fillId="3" borderId="0" xfId="0" applyNumberFormat="1" applyFont="1" applyFill="1"/>
    <xf numFmtId="0" fontId="19" fillId="3" borderId="0" xfId="0" applyFont="1" applyFill="1"/>
    <xf numFmtId="0" fontId="10" fillId="3" borderId="2" xfId="0" applyFont="1" applyFill="1" applyBorder="1" applyAlignment="1">
      <alignment vertical="top" wrapText="1"/>
    </xf>
    <xf numFmtId="171" fontId="10" fillId="3" borderId="2" xfId="1" applyNumberFormat="1" applyFont="1" applyFill="1" applyBorder="1" applyAlignment="1">
      <alignment horizontal="right" vertical="top" wrapText="1"/>
    </xf>
    <xf numFmtId="169" fontId="10" fillId="3" borderId="2" xfId="1" applyNumberFormat="1" applyFont="1" applyFill="1" applyBorder="1" applyAlignment="1">
      <alignment horizontal="right" vertical="top" wrapText="1"/>
    </xf>
    <xf numFmtId="168" fontId="10" fillId="4" borderId="2" xfId="1" applyNumberFormat="1" applyFont="1" applyFill="1" applyBorder="1" applyAlignment="1">
      <alignment horizontal="right" vertical="top" wrapText="1"/>
    </xf>
    <xf numFmtId="0" fontId="9" fillId="2" borderId="2" xfId="0" applyFont="1" applyFill="1" applyBorder="1" applyAlignment="1">
      <alignment vertical="top" wrapText="1"/>
    </xf>
    <xf numFmtId="168" fontId="9" fillId="0" borderId="2" xfId="1" applyNumberFormat="1" applyFont="1" applyFill="1" applyBorder="1" applyAlignment="1">
      <alignment horizontal="right" wrapText="1"/>
    </xf>
    <xf numFmtId="166" fontId="9" fillId="2" borderId="2" xfId="1" applyNumberFormat="1" applyFont="1" applyFill="1" applyBorder="1" applyAlignment="1">
      <alignment horizontal="center" vertical="top" wrapText="1"/>
    </xf>
    <xf numFmtId="171" fontId="9" fillId="2" borderId="2" xfId="1" applyNumberFormat="1" applyFont="1" applyFill="1" applyBorder="1" applyAlignment="1">
      <alignment horizontal="center" vertical="top" wrapText="1"/>
    </xf>
    <xf numFmtId="168" fontId="9" fillId="5" borderId="2" xfId="1" applyNumberFormat="1" applyFont="1" applyFill="1" applyBorder="1" applyAlignment="1">
      <alignment horizontal="right" vertical="top" wrapText="1"/>
    </xf>
    <xf numFmtId="169" fontId="9" fillId="2" borderId="2" xfId="1" applyNumberFormat="1" applyFont="1" applyFill="1" applyBorder="1" applyAlignment="1">
      <alignment horizontal="right" vertical="top" wrapText="1"/>
    </xf>
    <xf numFmtId="165" fontId="9" fillId="2" borderId="2" xfId="1" applyNumberFormat="1" applyFont="1" applyFill="1" applyBorder="1" applyAlignment="1">
      <alignment horizontal="right" vertical="top" wrapText="1"/>
    </xf>
    <xf numFmtId="0" fontId="19" fillId="2" borderId="0" xfId="0" applyFont="1" applyFill="1"/>
    <xf numFmtId="0" fontId="18" fillId="2" borderId="2" xfId="0" applyFont="1" applyFill="1" applyBorder="1"/>
    <xf numFmtId="0" fontId="10" fillId="2" borderId="2" xfId="0" applyFont="1" applyFill="1" applyBorder="1" applyAlignment="1">
      <alignment vertical="top" wrapText="1"/>
    </xf>
    <xf numFmtId="171" fontId="10" fillId="2" borderId="2" xfId="1" applyNumberFormat="1" applyFont="1" applyFill="1" applyBorder="1" applyAlignment="1">
      <alignment horizontal="center" vertical="top" wrapText="1"/>
    </xf>
    <xf numFmtId="169" fontId="10" fillId="2" borderId="2" xfId="1" applyNumberFormat="1" applyFont="1" applyFill="1" applyBorder="1" applyAlignment="1">
      <alignment horizontal="right" vertical="top" wrapText="1"/>
    </xf>
    <xf numFmtId="165" fontId="10" fillId="2" borderId="2" xfId="1" applyNumberFormat="1" applyFont="1" applyFill="1" applyBorder="1" applyAlignment="1">
      <alignment horizontal="right" vertical="top" wrapText="1"/>
    </xf>
    <xf numFmtId="0" fontId="20" fillId="2" borderId="2" xfId="0" applyFont="1" applyFill="1" applyBorder="1"/>
    <xf numFmtId="169" fontId="21" fillId="2" borderId="2" xfId="1" applyNumberFormat="1" applyFont="1" applyFill="1" applyBorder="1" applyAlignment="1">
      <alignment horizontal="right" vertical="center" wrapText="1"/>
    </xf>
    <xf numFmtId="168" fontId="10" fillId="2" borderId="2" xfId="1" applyNumberFormat="1" applyFont="1" applyFill="1" applyBorder="1" applyAlignment="1">
      <alignment horizontal="right" vertical="top" wrapText="1"/>
    </xf>
    <xf numFmtId="166" fontId="10" fillId="0" borderId="2" xfId="1" applyNumberFormat="1" applyFont="1" applyFill="1" applyBorder="1" applyAlignment="1">
      <alignment horizontal="center" vertical="top" wrapText="1"/>
    </xf>
    <xf numFmtId="165" fontId="10" fillId="0" borderId="2" xfId="1" applyNumberFormat="1" applyFont="1" applyFill="1" applyBorder="1" applyAlignment="1">
      <alignment horizontal="right" vertical="top" wrapText="1"/>
    </xf>
    <xf numFmtId="166" fontId="10" fillId="2" borderId="2" xfId="1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43" fontId="9" fillId="0" borderId="2" xfId="1" applyNumberFormat="1" applyFont="1" applyFill="1" applyBorder="1" applyAlignment="1">
      <alignment vertical="top" wrapText="1"/>
    </xf>
    <xf numFmtId="173" fontId="9" fillId="0" borderId="2" xfId="1" applyNumberFormat="1" applyFont="1" applyFill="1" applyBorder="1" applyAlignment="1">
      <alignment horizontal="right" vertical="top" wrapText="1"/>
    </xf>
    <xf numFmtId="167" fontId="18" fillId="2" borderId="0" xfId="0" applyNumberFormat="1" applyFont="1" applyFill="1"/>
    <xf numFmtId="167" fontId="18" fillId="2" borderId="2" xfId="0" applyNumberFormat="1" applyFont="1" applyFill="1" applyBorder="1"/>
    <xf numFmtId="166" fontId="10" fillId="0" borderId="2" xfId="1" applyNumberFormat="1" applyFont="1" applyFill="1" applyBorder="1" applyAlignment="1">
      <alignment vertical="top" wrapText="1"/>
    </xf>
    <xf numFmtId="171" fontId="10" fillId="0" borderId="2" xfId="1" applyNumberFormat="1" applyFont="1" applyFill="1" applyBorder="1" applyAlignment="1">
      <alignment vertical="top" wrapText="1"/>
    </xf>
    <xf numFmtId="0" fontId="20" fillId="2" borderId="0" xfId="0" applyFont="1" applyFill="1" applyAlignment="1">
      <alignment horizontal="center" vertical="center"/>
    </xf>
    <xf numFmtId="172" fontId="2" fillId="2" borderId="0" xfId="0" applyNumberFormat="1" applyFont="1" applyFill="1" applyAlignment="1">
      <alignment vertical="center"/>
    </xf>
    <xf numFmtId="171" fontId="10" fillId="0" borderId="2" xfId="1" applyNumberFormat="1" applyFont="1" applyFill="1" applyBorder="1" applyAlignment="1">
      <alignment horizontal="center" vertical="top" wrapText="1"/>
    </xf>
    <xf numFmtId="169" fontId="10" fillId="0" borderId="2" xfId="1" applyNumberFormat="1" applyFont="1" applyFill="1" applyBorder="1" applyAlignment="1">
      <alignment horizontal="right" vertical="center" wrapText="1"/>
    </xf>
    <xf numFmtId="173" fontId="10" fillId="0" borderId="2" xfId="1" applyNumberFormat="1" applyFont="1" applyFill="1" applyBorder="1" applyAlignment="1">
      <alignment horizontal="right" vertical="top" wrapText="1"/>
    </xf>
    <xf numFmtId="0" fontId="8" fillId="2" borderId="0" xfId="0" applyFont="1" applyFill="1"/>
    <xf numFmtId="4" fontId="10" fillId="0" borderId="2" xfId="1" applyNumberFormat="1" applyFont="1" applyFill="1" applyBorder="1" applyAlignment="1">
      <alignment vertical="top" wrapText="1"/>
    </xf>
    <xf numFmtId="173" fontId="10" fillId="2" borderId="2" xfId="1" applyNumberFormat="1" applyFont="1" applyFill="1" applyBorder="1" applyAlignment="1">
      <alignment horizontal="right" vertical="top" wrapText="1"/>
    </xf>
    <xf numFmtId="165" fontId="9" fillId="0" borderId="2" xfId="1" applyNumberFormat="1" applyFont="1" applyFill="1" applyBorder="1" applyAlignment="1">
      <alignment horizontal="right" vertical="top" wrapText="1"/>
    </xf>
    <xf numFmtId="43" fontId="17" fillId="2" borderId="2" xfId="0" applyNumberFormat="1" applyFont="1" applyFill="1" applyBorder="1"/>
    <xf numFmtId="0" fontId="8" fillId="2" borderId="2" xfId="0" applyFont="1" applyFill="1" applyBorder="1"/>
    <xf numFmtId="43" fontId="8" fillId="2" borderId="2" xfId="0" applyNumberFormat="1" applyFont="1" applyFill="1" applyBorder="1"/>
    <xf numFmtId="169" fontId="21" fillId="0" borderId="2" xfId="1" applyNumberFormat="1" applyFont="1" applyFill="1" applyBorder="1" applyAlignment="1">
      <alignment horizontal="right" vertical="center" wrapText="1"/>
    </xf>
    <xf numFmtId="165" fontId="10" fillId="2" borderId="2" xfId="1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vertical="top"/>
    </xf>
    <xf numFmtId="0" fontId="9" fillId="0" borderId="2" xfId="0" applyFont="1" applyFill="1" applyBorder="1" applyAlignment="1">
      <alignment vertical="top" wrapText="1"/>
    </xf>
    <xf numFmtId="166" fontId="9" fillId="0" borderId="2" xfId="1" applyNumberFormat="1" applyFont="1" applyFill="1" applyBorder="1" applyAlignment="1">
      <alignment horizontal="center" vertical="top" wrapText="1"/>
    </xf>
    <xf numFmtId="171" fontId="9" fillId="0" borderId="2" xfId="1" applyNumberFormat="1" applyFont="1" applyFill="1" applyBorder="1" applyAlignment="1">
      <alignment horizontal="center" vertical="top" wrapText="1"/>
    </xf>
    <xf numFmtId="0" fontId="19" fillId="0" borderId="0" xfId="0" applyFont="1" applyFill="1"/>
    <xf numFmtId="0" fontId="18" fillId="0" borderId="2" xfId="0" applyFont="1" applyFill="1" applyBorder="1"/>
    <xf numFmtId="0" fontId="10" fillId="0" borderId="2" xfId="0" applyFont="1" applyFill="1" applyBorder="1" applyAlignment="1">
      <alignment vertical="top" wrapText="1"/>
    </xf>
    <xf numFmtId="0" fontId="2" fillId="0" borderId="0" xfId="0" applyFont="1" applyFill="1"/>
    <xf numFmtId="0" fontId="20" fillId="0" borderId="2" xfId="0" applyFont="1" applyFill="1" applyBorder="1"/>
    <xf numFmtId="2" fontId="10" fillId="2" borderId="2" xfId="1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/>
    </xf>
    <xf numFmtId="0" fontId="19" fillId="6" borderId="0" xfId="0" applyFont="1" applyFill="1"/>
    <xf numFmtId="0" fontId="18" fillId="6" borderId="2" xfId="0" applyFont="1" applyFill="1" applyBorder="1"/>
    <xf numFmtId="0" fontId="2" fillId="6" borderId="0" xfId="0" applyFont="1" applyFill="1"/>
    <xf numFmtId="0" fontId="20" fillId="6" borderId="2" xfId="0" applyFont="1" applyFill="1" applyBorder="1"/>
    <xf numFmtId="0" fontId="10" fillId="0" borderId="0" xfId="0" applyFont="1" applyFill="1" applyAlignment="1">
      <alignment vertical="top" wrapText="1"/>
    </xf>
    <xf numFmtId="0" fontId="2" fillId="6" borderId="0" xfId="0" applyFont="1" applyFill="1" applyAlignment="1">
      <alignment vertical="top"/>
    </xf>
    <xf numFmtId="0" fontId="20" fillId="6" borderId="2" xfId="0" applyFont="1" applyFill="1" applyBorder="1" applyAlignment="1">
      <alignment vertical="top"/>
    </xf>
    <xf numFmtId="169" fontId="10" fillId="2" borderId="2" xfId="1" applyNumberFormat="1" applyFont="1" applyFill="1" applyBorder="1" applyAlignment="1">
      <alignment horizontal="right" vertical="center" wrapText="1"/>
    </xf>
    <xf numFmtId="175" fontId="10" fillId="2" borderId="2" xfId="1" applyNumberFormat="1" applyFont="1" applyFill="1" applyBorder="1" applyAlignment="1">
      <alignment horizontal="right" vertical="top" wrapText="1"/>
    </xf>
    <xf numFmtId="169" fontId="10" fillId="2" borderId="2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164" fontId="22" fillId="0" borderId="2" xfId="1" applyNumberFormat="1" applyFont="1" applyFill="1" applyBorder="1" applyAlignment="1">
      <alignment horizontal="right" vertical="top" wrapText="1"/>
    </xf>
    <xf numFmtId="169" fontId="23" fillId="3" borderId="2" xfId="0" applyNumberFormat="1" applyFont="1" applyFill="1" applyBorder="1" applyAlignment="1">
      <alignment horizontal="right" vertical="center"/>
    </xf>
    <xf numFmtId="166" fontId="24" fillId="0" borderId="2" xfId="1" applyNumberFormat="1" applyFont="1" applyFill="1" applyBorder="1" applyAlignment="1">
      <alignment horizontal="right" vertical="top" wrapText="1"/>
    </xf>
    <xf numFmtId="164" fontId="24" fillId="2" borderId="2" xfId="1" applyNumberFormat="1" applyFont="1" applyFill="1" applyBorder="1" applyAlignment="1">
      <alignment horizontal="right" vertical="top" wrapText="1"/>
    </xf>
    <xf numFmtId="166" fontId="24" fillId="2" borderId="2" xfId="1" applyNumberFormat="1" applyFont="1" applyFill="1" applyBorder="1" applyAlignment="1">
      <alignment horizontal="right" vertical="top" wrapText="1"/>
    </xf>
    <xf numFmtId="168" fontId="22" fillId="3" borderId="2" xfId="1" applyNumberFormat="1" applyFont="1" applyFill="1" applyBorder="1" applyAlignment="1">
      <alignment horizontal="right" vertical="top" wrapText="1"/>
    </xf>
    <xf numFmtId="168" fontId="24" fillId="3" borderId="2" xfId="1" applyNumberFormat="1" applyFont="1" applyFill="1" applyBorder="1" applyAlignment="1">
      <alignment horizontal="right" vertical="top" wrapText="1"/>
    </xf>
    <xf numFmtId="168" fontId="22" fillId="4" borderId="2" xfId="1" applyNumberFormat="1" applyFont="1" applyFill="1" applyBorder="1" applyAlignment="1">
      <alignment horizontal="righ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168" fontId="17" fillId="3" borderId="2" xfId="0" applyNumberFormat="1" applyFont="1" applyFill="1" applyBorder="1" applyAlignment="1">
      <alignment horizontal="right" vertical="center"/>
    </xf>
    <xf numFmtId="167" fontId="25" fillId="2" borderId="0" xfId="0" applyNumberFormat="1" applyFont="1" applyFill="1" applyAlignment="1">
      <alignment horizontal="right"/>
    </xf>
    <xf numFmtId="168" fontId="26" fillId="2" borderId="0" xfId="0" applyNumberFormat="1" applyFont="1" applyFill="1" applyAlignment="1">
      <alignment horizontal="right" wrapText="1"/>
    </xf>
    <xf numFmtId="168" fontId="26" fillId="2" borderId="0" xfId="0" applyNumberFormat="1" applyFont="1" applyFill="1" applyAlignment="1">
      <alignment horizontal="center"/>
    </xf>
    <xf numFmtId="168" fontId="27" fillId="2" borderId="1" xfId="0" applyNumberFormat="1" applyFont="1" applyFill="1" applyBorder="1" applyAlignment="1">
      <alignment horizontal="right" vertical="top" wrapText="1"/>
    </xf>
    <xf numFmtId="0" fontId="28" fillId="0" borderId="2" xfId="0" applyFont="1" applyFill="1" applyBorder="1" applyAlignment="1">
      <alignment horizontal="center" vertical="top" wrapText="1"/>
    </xf>
    <xf numFmtId="168" fontId="26" fillId="3" borderId="2" xfId="1" applyNumberFormat="1" applyFont="1" applyFill="1" applyBorder="1" applyAlignment="1">
      <alignment horizontal="right" vertical="top" wrapText="1"/>
    </xf>
    <xf numFmtId="168" fontId="27" fillId="3" borderId="2" xfId="1" applyNumberFormat="1" applyFont="1" applyFill="1" applyBorder="1" applyAlignment="1">
      <alignment horizontal="right" vertical="top" wrapText="1"/>
    </xf>
    <xf numFmtId="166" fontId="26" fillId="0" borderId="2" xfId="1" applyNumberFormat="1" applyFont="1" applyFill="1" applyBorder="1" applyAlignment="1">
      <alignment horizontal="right" vertical="top" wrapText="1"/>
    </xf>
    <xf numFmtId="166" fontId="27" fillId="0" borderId="2" xfId="1" applyNumberFormat="1" applyFont="1" applyFill="1" applyBorder="1" applyAlignment="1">
      <alignment horizontal="right" vertical="top" wrapText="1"/>
    </xf>
    <xf numFmtId="43" fontId="26" fillId="0" borderId="2" xfId="1" applyNumberFormat="1" applyFont="1" applyFill="1" applyBorder="1" applyAlignment="1">
      <alignment horizontal="right" vertical="top" wrapText="1"/>
    </xf>
    <xf numFmtId="164" fontId="27" fillId="2" borderId="2" xfId="1" applyNumberFormat="1" applyFont="1" applyFill="1" applyBorder="1" applyAlignment="1">
      <alignment horizontal="right" vertical="top" wrapText="1"/>
    </xf>
    <xf numFmtId="4" fontId="27" fillId="0" borderId="2" xfId="1" applyNumberFormat="1" applyFont="1" applyFill="1" applyBorder="1" applyAlignment="1">
      <alignment horizontal="right" vertical="top" wrapText="1"/>
    </xf>
    <xf numFmtId="166" fontId="27" fillId="2" borderId="2" xfId="1" applyNumberFormat="1" applyFont="1" applyFill="1" applyBorder="1" applyAlignment="1">
      <alignment horizontal="right" vertical="top" wrapText="1"/>
    </xf>
    <xf numFmtId="166" fontId="27" fillId="2" borderId="2" xfId="1" applyNumberFormat="1" applyFont="1" applyFill="1" applyBorder="1" applyAlignment="1">
      <alignment horizontal="center" vertical="top" wrapText="1"/>
    </xf>
    <xf numFmtId="164" fontId="26" fillId="0" borderId="2" xfId="1" applyNumberFormat="1" applyFont="1" applyFill="1" applyBorder="1" applyAlignment="1">
      <alignment horizontal="right" vertical="top" wrapText="1"/>
    </xf>
    <xf numFmtId="2" fontId="26" fillId="0" borderId="2" xfId="1" applyNumberFormat="1" applyFont="1" applyFill="1" applyBorder="1" applyAlignment="1">
      <alignment horizontal="right" vertical="top" wrapText="1"/>
    </xf>
    <xf numFmtId="2" fontId="27" fillId="0" borderId="2" xfId="1" applyNumberFormat="1" applyFont="1" applyFill="1" applyBorder="1" applyAlignment="1">
      <alignment horizontal="right" vertical="top" wrapText="1"/>
    </xf>
    <xf numFmtId="168" fontId="27" fillId="0" borderId="2" xfId="1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right"/>
    </xf>
    <xf numFmtId="0" fontId="26" fillId="2" borderId="0" xfId="0" applyFont="1" applyFill="1" applyAlignment="1">
      <alignment horizontal="right" wrapText="1"/>
    </xf>
    <xf numFmtId="4" fontId="26" fillId="2" borderId="0" xfId="0" applyNumberFormat="1" applyFont="1" applyFill="1" applyAlignment="1">
      <alignment horizontal="center"/>
    </xf>
    <xf numFmtId="168" fontId="28" fillId="2" borderId="1" xfId="0" applyNumberFormat="1" applyFont="1" applyFill="1" applyBorder="1" applyAlignment="1">
      <alignment horizontal="right" vertical="top" wrapText="1"/>
    </xf>
    <xf numFmtId="176" fontId="27" fillId="0" borderId="2" xfId="1" applyNumberFormat="1" applyFont="1" applyFill="1" applyBorder="1" applyAlignment="1">
      <alignment vertical="top" wrapText="1"/>
    </xf>
    <xf numFmtId="176" fontId="10" fillId="0" borderId="2" xfId="1" applyNumberFormat="1" applyFont="1" applyFill="1" applyBorder="1" applyAlignment="1">
      <alignment vertical="top" wrapText="1"/>
    </xf>
    <xf numFmtId="176" fontId="26" fillId="2" borderId="2" xfId="1" applyNumberFormat="1" applyFont="1" applyFill="1" applyBorder="1" applyAlignment="1">
      <alignment vertical="top" wrapText="1"/>
    </xf>
    <xf numFmtId="176" fontId="9" fillId="2" borderId="2" xfId="1" applyNumberFormat="1" applyFont="1" applyFill="1" applyBorder="1" applyAlignment="1">
      <alignment vertical="top" wrapText="1"/>
    </xf>
    <xf numFmtId="176" fontId="26" fillId="0" borderId="2" xfId="1" applyNumberFormat="1" applyFont="1" applyFill="1" applyBorder="1" applyAlignment="1">
      <alignment vertical="top" wrapText="1"/>
    </xf>
    <xf numFmtId="176" fontId="27" fillId="2" borderId="2" xfId="1" applyNumberFormat="1" applyFont="1" applyFill="1" applyBorder="1" applyAlignment="1">
      <alignment vertical="top" wrapText="1"/>
    </xf>
    <xf numFmtId="176" fontId="10" fillId="2" borderId="2" xfId="1" applyNumberFormat="1" applyFont="1" applyFill="1" applyBorder="1" applyAlignment="1">
      <alignment vertical="top" wrapText="1"/>
    </xf>
    <xf numFmtId="176" fontId="9" fillId="0" borderId="2" xfId="1" applyNumberFormat="1" applyFont="1" applyFill="1" applyBorder="1" applyAlignment="1">
      <alignment vertical="top" wrapText="1"/>
    </xf>
    <xf numFmtId="0" fontId="30" fillId="0" borderId="0" xfId="0" applyFont="1" applyFill="1" applyAlignment="1">
      <alignment horizontal="left"/>
    </xf>
    <xf numFmtId="0" fontId="31" fillId="0" borderId="0" xfId="0" applyFont="1" applyFill="1" applyAlignment="1">
      <alignment horizontal="left"/>
    </xf>
    <xf numFmtId="167" fontId="30" fillId="2" borderId="0" xfId="0" applyNumberFormat="1" applyFont="1" applyFill="1" applyAlignment="1">
      <alignment horizontal="left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0" fillId="2" borderId="4" xfId="0" applyFont="1" applyFill="1" applyBorder="1" applyAlignment="1">
      <alignment horizontal="justify" vertical="top" wrapText="1"/>
    </xf>
    <xf numFmtId="0" fontId="10" fillId="2" borderId="5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justify" vertical="top" wrapText="1"/>
    </xf>
    <xf numFmtId="0" fontId="10" fillId="3" borderId="4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horizontal="justify" vertical="top" wrapText="1"/>
    </xf>
    <xf numFmtId="0" fontId="21" fillId="0" borderId="0" xfId="0" applyFont="1"/>
    <xf numFmtId="0" fontId="21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V92"/>
  <sheetViews>
    <sheetView tabSelected="1" view="pageBreakPreview" zoomScale="60" zoomScaleNormal="70" workbookViewId="0">
      <pane xSplit="3" topLeftCell="D1" activePane="topRight" state="frozen"/>
      <selection pane="topRight" activeCell="J7" sqref="J7"/>
    </sheetView>
  </sheetViews>
  <sheetFormatPr defaultRowHeight="14.25"/>
  <cols>
    <col min="1" max="1" width="24.5703125" style="32" customWidth="1"/>
    <col min="2" max="2" width="55.5703125" style="32" customWidth="1"/>
    <col min="3" max="3" width="30.140625" style="32" customWidth="1"/>
    <col min="4" max="4" width="20.140625" style="33" customWidth="1"/>
    <col min="5" max="5" width="20.42578125" style="34" hidden="1" customWidth="1"/>
    <col min="6" max="6" width="20.42578125" style="33" hidden="1" customWidth="1"/>
    <col min="7" max="7" width="19.7109375" style="33" customWidth="1"/>
    <col min="8" max="8" width="11.42578125" style="35" hidden="1" customWidth="1"/>
    <col min="9" max="9" width="26.85546875" style="36" customWidth="1"/>
    <col min="10" max="10" width="22.42578125" style="36" customWidth="1"/>
    <col min="11" max="11" width="17.85546875" style="36" hidden="1" customWidth="1"/>
    <col min="12" max="12" width="19.42578125" style="21" customWidth="1"/>
    <col min="13" max="13" width="16.140625" style="21" hidden="1" customWidth="1"/>
    <col min="14" max="14" width="19.7109375" style="158" customWidth="1"/>
    <col min="15" max="15" width="19.7109375" style="21" hidden="1" customWidth="1"/>
    <col min="16" max="16" width="19.7109375" style="158" customWidth="1"/>
    <col min="17" max="17" width="19.7109375" style="21" customWidth="1"/>
    <col min="18" max="18" width="20.42578125" style="36" customWidth="1"/>
    <col min="19" max="19" width="19.7109375" style="37" customWidth="1"/>
    <col min="20" max="20" width="14.7109375" style="37" customWidth="1"/>
    <col min="21" max="21" width="16.85546875" style="37" customWidth="1"/>
    <col min="22" max="16384" width="9.140625" style="37"/>
  </cols>
  <sheetData>
    <row r="2" spans="1:22" ht="39" customHeight="1">
      <c r="I2" s="192" t="s">
        <v>48</v>
      </c>
      <c r="Q2" s="170" t="s">
        <v>44</v>
      </c>
    </row>
    <row r="3" spans="1:22" ht="39" customHeight="1">
      <c r="I3" s="193" t="s">
        <v>40</v>
      </c>
      <c r="Q3" s="171" t="s">
        <v>40</v>
      </c>
    </row>
    <row r="4" spans="1:22" ht="39" customHeight="1">
      <c r="I4" s="194"/>
      <c r="Q4" s="170" t="s">
        <v>41</v>
      </c>
    </row>
    <row r="5" spans="1:22" ht="39" customHeight="1">
      <c r="I5" s="193" t="s">
        <v>45</v>
      </c>
      <c r="Q5" s="170" t="s">
        <v>42</v>
      </c>
    </row>
    <row r="6" spans="1:22" ht="41.25" customHeight="1">
      <c r="I6" s="193" t="s">
        <v>46</v>
      </c>
      <c r="J6" s="1"/>
      <c r="K6" s="1"/>
      <c r="L6" s="1"/>
      <c r="M6" s="1"/>
      <c r="O6" s="1"/>
      <c r="Q6" s="172" t="s">
        <v>43</v>
      </c>
    </row>
    <row r="7" spans="1:22" ht="37.5">
      <c r="I7" s="193" t="s">
        <v>47</v>
      </c>
    </row>
    <row r="8" spans="1:22" ht="31.5" customHeight="1">
      <c r="J8" s="1"/>
      <c r="K8" s="1"/>
      <c r="L8" s="1"/>
      <c r="M8" s="1"/>
      <c r="N8" s="140"/>
      <c r="O8" s="1"/>
    </row>
    <row r="9" spans="1:22" ht="69.75" customHeight="1">
      <c r="A9" s="184" t="s">
        <v>39</v>
      </c>
      <c r="B9" s="184"/>
      <c r="C9" s="184"/>
      <c r="D9" s="184"/>
      <c r="E9" s="184"/>
      <c r="F9" s="184"/>
      <c r="G9" s="184"/>
      <c r="H9" s="184"/>
      <c r="I9" s="2"/>
      <c r="J9" s="2"/>
      <c r="K9" s="2"/>
      <c r="L9" s="2"/>
      <c r="M9" s="2"/>
      <c r="N9" s="141"/>
      <c r="O9" s="2"/>
      <c r="P9" s="159"/>
      <c r="Q9" s="22"/>
    </row>
    <row r="10" spans="1:22" ht="20.25">
      <c r="A10" s="38"/>
      <c r="B10" s="39"/>
      <c r="C10" s="39"/>
      <c r="D10" s="23">
        <v>282680.90000000002</v>
      </c>
      <c r="E10" s="40" t="s">
        <v>23</v>
      </c>
      <c r="F10" s="40">
        <v>285586.2</v>
      </c>
      <c r="G10" s="24">
        <v>317408.42800000001</v>
      </c>
      <c r="H10" s="41">
        <f>G10-G13</f>
        <v>-6.399999838322401E-4</v>
      </c>
      <c r="I10" s="42">
        <v>325839.28899999999</v>
      </c>
      <c r="J10" s="43">
        <v>321247.21399999998</v>
      </c>
      <c r="K10" s="23">
        <f>317830.2+25</f>
        <v>317855.2</v>
      </c>
      <c r="L10" s="2">
        <v>348154.8</v>
      </c>
      <c r="M10" s="23">
        <v>278218.59999999998</v>
      </c>
      <c r="N10" s="142">
        <f>342165.8+2895</f>
        <v>345060.8</v>
      </c>
      <c r="O10" s="23">
        <v>284347.09999999998</v>
      </c>
      <c r="P10" s="160">
        <f>299197.9+95.6-846.4</f>
        <v>298447.09999999998</v>
      </c>
      <c r="Q10" s="24">
        <f>297074.1+95.6</f>
        <v>297169.69999999995</v>
      </c>
      <c r="R10" s="44"/>
    </row>
    <row r="11" spans="1:22" ht="20.25" customHeight="1">
      <c r="A11" s="185" t="s">
        <v>0</v>
      </c>
      <c r="B11" s="186" t="s">
        <v>7</v>
      </c>
      <c r="C11" s="185" t="s">
        <v>1</v>
      </c>
      <c r="D11" s="45">
        <f>D10-D13</f>
        <v>0</v>
      </c>
      <c r="E11" s="46"/>
      <c r="F11" s="47">
        <f>F10-F13</f>
        <v>0</v>
      </c>
      <c r="G11" s="45">
        <f>G10-G13</f>
        <v>-6.399999838322401E-4</v>
      </c>
      <c r="H11" s="47"/>
      <c r="I11" s="48">
        <f>I10-I13</f>
        <v>4.2999995639547706E-4</v>
      </c>
      <c r="J11" s="3">
        <f>J10-J13</f>
        <v>4.9999996554106474E-4</v>
      </c>
      <c r="K11" s="3">
        <f t="shared" ref="K11:P11" si="0">K10-K13</f>
        <v>0</v>
      </c>
      <c r="L11" s="3">
        <f t="shared" si="0"/>
        <v>0</v>
      </c>
      <c r="M11" s="3">
        <f t="shared" si="0"/>
        <v>0</v>
      </c>
      <c r="N11" s="143">
        <f t="shared" si="0"/>
        <v>0</v>
      </c>
      <c r="O11" s="3">
        <f t="shared" si="0"/>
        <v>284347.09999999998</v>
      </c>
      <c r="P11" s="161">
        <f t="shared" si="0"/>
        <v>0</v>
      </c>
      <c r="Q11" s="25">
        <f>Q10-Q13</f>
        <v>0</v>
      </c>
      <c r="R11" s="48"/>
      <c r="S11" s="37">
        <f>S12/1000-D13</f>
        <v>-13603.18405000004</v>
      </c>
    </row>
    <row r="12" spans="1:22" ht="39.75" customHeight="1">
      <c r="A12" s="185"/>
      <c r="B12" s="186"/>
      <c r="C12" s="185"/>
      <c r="D12" s="26" t="s">
        <v>5</v>
      </c>
      <c r="E12" s="138">
        <v>2015</v>
      </c>
      <c r="F12" s="49" t="s">
        <v>24</v>
      </c>
      <c r="G12" s="138" t="s">
        <v>27</v>
      </c>
      <c r="H12" s="50" t="s">
        <v>25</v>
      </c>
      <c r="I12" s="138" t="s">
        <v>10</v>
      </c>
      <c r="J12" s="138" t="s">
        <v>12</v>
      </c>
      <c r="K12" s="27" t="s">
        <v>12</v>
      </c>
      <c r="L12" s="138" t="s">
        <v>13</v>
      </c>
      <c r="M12" s="27" t="s">
        <v>13</v>
      </c>
      <c r="N12" s="144" t="s">
        <v>31</v>
      </c>
      <c r="O12" s="27" t="s">
        <v>31</v>
      </c>
      <c r="P12" s="144" t="s">
        <v>32</v>
      </c>
      <c r="Q12" s="26" t="s">
        <v>37</v>
      </c>
      <c r="R12" s="51" t="s">
        <v>38</v>
      </c>
      <c r="S12" s="37">
        <f>262568174.95-2088400-50000-400000-26567-230492+9405000-100000</f>
        <v>269077715.94999999</v>
      </c>
    </row>
    <row r="13" spans="1:22" s="58" customFormat="1" ht="20.25">
      <c r="A13" s="187" t="s">
        <v>8</v>
      </c>
      <c r="B13" s="189" t="s">
        <v>21</v>
      </c>
      <c r="C13" s="52" t="s">
        <v>6</v>
      </c>
      <c r="D13" s="4">
        <f>D18+D23+D33+D38+D48+D53+D68+D73+D63+D58+D78+D83+D43+D28</f>
        <v>282680.90000000002</v>
      </c>
      <c r="E13" s="4">
        <f>E18+E23+E33+E38+E48+E53+E68+E73+E63</f>
        <v>264438.2</v>
      </c>
      <c r="F13" s="4">
        <f>F18+F23+F33+F38+F48+F53+F68+F73+F63</f>
        <v>285586.2</v>
      </c>
      <c r="G13" s="53">
        <f>G18+G23+G33+G38+G48+G53+G68+G73+G63+G58+G78+G83+G43+G28</f>
        <v>317408.42864</v>
      </c>
      <c r="H13" s="4">
        <f>H18+H23+H33+H38+H48+H53+H68+H73+H63+H58+H78+H83+H43+H28</f>
        <v>5993.028639999995</v>
      </c>
      <c r="I13" s="53">
        <f>I18+I23+I33+I38+I48+I53+I68+I73+I63+I58+I78+I83+I43+I28</f>
        <v>325839.28857000003</v>
      </c>
      <c r="J13" s="53">
        <f>J18+J23+J33+J38+J48+J53+J68+J73+J63+J58+J78+J83+J43+J28</f>
        <v>321247.21350000001</v>
      </c>
      <c r="K13" s="28">
        <f>K15+K16</f>
        <v>317855.19999999995</v>
      </c>
      <c r="L13" s="4">
        <f>L18+L23+L33+L38+L48+L53+L68+L73+L63+L58+L78+L83+L43+L28+L88</f>
        <v>348154.8</v>
      </c>
      <c r="M13" s="28">
        <f>M15+M16</f>
        <v>278218.59999999998</v>
      </c>
      <c r="N13" s="145">
        <f>N18+N23+N33+N38+N48+N53+N68+N73+N63+N58+N78+N83+N43+N28+N88</f>
        <v>345060.8</v>
      </c>
      <c r="O13" s="4">
        <f>O18+O23+O33+O38+O48+O53+O68+O73+O63+O58+O78+O83+O43+O28</f>
        <v>0</v>
      </c>
      <c r="P13" s="145">
        <f>P18+P23+P33+P38+P48+P53+P68+P73+P63+P58+P78+P83+P43+P28+P88</f>
        <v>298447.10000000009</v>
      </c>
      <c r="Q13" s="4">
        <f>Q18+Q23+Q33+Q38+Q48+Q53+Q68+Q73+Q63+Q58+Q78+Q83+Q43+Q28+Q88</f>
        <v>297169.70000000007</v>
      </c>
      <c r="R13" s="54">
        <f t="shared" ref="R13:R18" si="1">D13+G13+I13+J13+L13+N13+P13+Q13</f>
        <v>2536008.2307100007</v>
      </c>
      <c r="S13" s="55">
        <f>D13+G13+I13+J13+L13+N13+P13+Q13</f>
        <v>2536008.2307100007</v>
      </c>
      <c r="T13" s="55">
        <f>R13-S13</f>
        <v>0</v>
      </c>
      <c r="U13" s="56">
        <f>282680.9+317408.429+282943.5+248078.4+373332.4</f>
        <v>1504443.6290000002</v>
      </c>
      <c r="V13" s="57">
        <f>SUM(D13:P13)</f>
        <v>3390929.7593499999</v>
      </c>
    </row>
    <row r="14" spans="1:22" s="58" customFormat="1" ht="21.75" customHeight="1">
      <c r="A14" s="188"/>
      <c r="B14" s="190"/>
      <c r="C14" s="59" t="s">
        <v>2</v>
      </c>
      <c r="D14" s="5">
        <f>D19+D24+D34+D39+D49+D54+D69+D74+D64</f>
        <v>1606.2</v>
      </c>
      <c r="E14" s="5">
        <f>E19+E24+E34+E39+E49+E54+E69+E74+E64+E59</f>
        <v>0</v>
      </c>
      <c r="F14" s="5">
        <f>F19+F24+F34+F39+F49+F54+F69+F74+F64</f>
        <v>0</v>
      </c>
      <c r="G14" s="60">
        <f>G19+G24+G34+G39+G49+G54+G69+G74+G64+G59</f>
        <v>0</v>
      </c>
      <c r="H14" s="5">
        <f>H19+H24+H34+H39+H49+H54+H69+H74+H64+H59</f>
        <v>0</v>
      </c>
      <c r="I14" s="61">
        <f>I19+I24+I34+I39+I49+I54+I69+I74+I64+I59+I79+I84+I44</f>
        <v>0</v>
      </c>
      <c r="J14" s="61">
        <f>J19+J24+J34+J39+J49+J54+J69+J74+J64+J59+J79+J84+J44</f>
        <v>0</v>
      </c>
      <c r="K14" s="62">
        <f>K19+K24+K34+K39+K49+K54+K69+K74+K64+K59+K79+K84+K44</f>
        <v>0</v>
      </c>
      <c r="L14" s="5">
        <f>L19+L24+L34+L39+L49+L54+L69+L74+L64+L59+L79+L84+L44</f>
        <v>0</v>
      </c>
      <c r="M14" s="28">
        <f>L14</f>
        <v>0</v>
      </c>
      <c r="N14" s="146">
        <f>N19+N24+N34+N39+N49+N54+N69+N74+N64+N59+N79+N84+N44</f>
        <v>0</v>
      </c>
      <c r="O14" s="28">
        <f>N14</f>
        <v>0</v>
      </c>
      <c r="P14" s="146">
        <f>P19+P24+P34+P39+P49+P54+P69+P74+P64+P59+P79+P84+P44</f>
        <v>0</v>
      </c>
      <c r="Q14" s="5">
        <f>Q19+Q24+Q34+Q39+Q49+Q54+Q69+Q74+Q64+Q59+Q79+Q84+Q44</f>
        <v>0</v>
      </c>
      <c r="R14" s="54">
        <f t="shared" si="1"/>
        <v>1606.2</v>
      </c>
      <c r="S14" s="55">
        <f>D14+G14+I14+J14+L14+N14+P14+Q14</f>
        <v>1606.2</v>
      </c>
      <c r="T14" s="57">
        <f>K15-J15</f>
        <v>-7085.4144000000088</v>
      </c>
      <c r="U14" s="56"/>
    </row>
    <row r="15" spans="1:22" s="58" customFormat="1" ht="20.25">
      <c r="A15" s="188"/>
      <c r="B15" s="190"/>
      <c r="C15" s="59" t="s">
        <v>3</v>
      </c>
      <c r="D15" s="5">
        <f>D20+D25+D35+D40+D50+D55+D70+D75+D65</f>
        <v>150051.00000000003</v>
      </c>
      <c r="E15" s="5">
        <f>E20+E25+E35+E40+E50+E55+E70+E75+E65</f>
        <v>140229.70000000001</v>
      </c>
      <c r="F15" s="5">
        <f>F20+F25+F35+F40+F50+F55+F70+F75+F65</f>
        <v>152671.5</v>
      </c>
      <c r="G15" s="60">
        <f>G20+G25+G35+G40+G50+G55+G70+G75+G65+G60</f>
        <v>167398.30566000001</v>
      </c>
      <c r="H15" s="5">
        <f>H20+H25+H35+H40+H50+H55+H70+H75+H65+H60</f>
        <v>14726.805660000002</v>
      </c>
      <c r="I15" s="61">
        <f>I20+I25+I35+I40+I50+I55+I70+I75+I65+I60+I80+I85+I45</f>
        <v>173467.06607999999</v>
      </c>
      <c r="J15" s="61">
        <f>J20+J25+J35+J40+J50+J55+J70+J75+J65+J60+J80+J85+J45</f>
        <v>173776.8144</v>
      </c>
      <c r="K15" s="28">
        <v>166691.4</v>
      </c>
      <c r="L15" s="5">
        <f>L20+L25+L35+L40+L50+L55+L70+L75+L65+L60+L80+L85+L45+L90</f>
        <v>192388.90000000002</v>
      </c>
      <c r="M15" s="28">
        <v>145048.79999999999</v>
      </c>
      <c r="N15" s="146">
        <f>N20+N25+N35+N40+N50+N55+N70+N75+N65+N60+N80+N85+N45+N90</f>
        <v>191650.80000000002</v>
      </c>
      <c r="O15" s="5">
        <f>O20+O25+O35+O40+O50+O55+O70+O75+O65+O60+O80+O85+O45</f>
        <v>64960.7</v>
      </c>
      <c r="P15" s="146">
        <f>P20+P25+P35+P40+P50+P55+P70+P75+P65+P60+P80+P85+P45+P90</f>
        <v>164624.70000000001</v>
      </c>
      <c r="Q15" s="5">
        <f>Q20+Q25+Q35+Q40+Q50+Q55+Q70+Q75+Q65+Q60+Q80+Q85+Q45+Q90</f>
        <v>160386.20000000001</v>
      </c>
      <c r="R15" s="54">
        <f t="shared" si="1"/>
        <v>1373743.78614</v>
      </c>
      <c r="S15" s="55">
        <f>D15+G15+I15+J15+L15+N15+P15+Q15</f>
        <v>1373743.78614</v>
      </c>
      <c r="T15" s="57">
        <f>K16-J16</f>
        <v>3693.4008999999787</v>
      </c>
      <c r="U15" s="56">
        <f>150051+167398.306+133698.2+132093+175088.9</f>
        <v>758329.40600000008</v>
      </c>
    </row>
    <row r="16" spans="1:22" s="58" customFormat="1" ht="20.25">
      <c r="A16" s="188"/>
      <c r="B16" s="190"/>
      <c r="C16" s="59" t="s">
        <v>9</v>
      </c>
      <c r="D16" s="5">
        <f t="shared" ref="D16:I16" si="2">D21+D26+D36+D41+D51+D56+D71+D76+D66+D61+D81+D86+D46+D31</f>
        <v>131023.7</v>
      </c>
      <c r="E16" s="5">
        <f t="shared" si="2"/>
        <v>148523.5</v>
      </c>
      <c r="F16" s="5">
        <f t="shared" si="2"/>
        <v>158247.90000000002</v>
      </c>
      <c r="G16" s="61">
        <f t="shared" si="2"/>
        <v>150010.12298000004</v>
      </c>
      <c r="H16" s="61">
        <f t="shared" si="2"/>
        <v>-8237.777020000005</v>
      </c>
      <c r="I16" s="61">
        <f t="shared" si="2"/>
        <v>152372.22248999999</v>
      </c>
      <c r="J16" s="61">
        <f>J21+J26+J36+J41+J51+J56+J71+J76+J66+J61+J81+J86+J46+J31</f>
        <v>147470.39910000001</v>
      </c>
      <c r="K16" s="28">
        <v>151163.79999999999</v>
      </c>
      <c r="L16" s="5">
        <f>L21+L26+L36+L41+L51+L56+L71+L76+L66+L61+L81+L86+L46+L31+L91</f>
        <v>155765.90000000002</v>
      </c>
      <c r="M16" s="28">
        <v>133169.79999999999</v>
      </c>
      <c r="N16" s="146">
        <f>N21+N26+N36+N41+N51+N56+N71+N76+N66+N61+N81+N86+N46+N31+N91</f>
        <v>153410</v>
      </c>
      <c r="O16" s="5">
        <f>O21+O26+O36+O41+O51+O56+O71+O76+O66+O61+O81+O86+O46+O31</f>
        <v>0</v>
      </c>
      <c r="P16" s="146">
        <f>P21+P26+P36+P41+P51+P56+P71+P76+P66+P61+P81+P86+P46+P31+P91</f>
        <v>133822.40000000002</v>
      </c>
      <c r="Q16" s="5">
        <f>Q21+Q26+Q36+Q41+Q51+Q56+Q71+Q76+Q66+Q61+Q81+Q86+Q46+Q31+Q91</f>
        <v>136783.50000000003</v>
      </c>
      <c r="R16" s="54">
        <f t="shared" si="1"/>
        <v>1160658.2445700001</v>
      </c>
      <c r="S16" s="55">
        <f>D16+G16+I16+J16+L16+N16+P16+Q16</f>
        <v>1160658.2445700001</v>
      </c>
      <c r="U16" s="56">
        <f>131023.7+150010.123+149245.3+115985.4+198243.5</f>
        <v>744508.02299999993</v>
      </c>
    </row>
    <row r="17" spans="1:21" s="58" customFormat="1" ht="40.5">
      <c r="A17" s="188"/>
      <c r="B17" s="191"/>
      <c r="C17" s="59" t="s">
        <v>4</v>
      </c>
      <c r="D17" s="5">
        <f>D22+D27+D37+D42+D52+D57+D72+D77+D67</f>
        <v>0</v>
      </c>
      <c r="E17" s="5">
        <f>E22+E27+E37+E42+E52+E57+E72+E77+E67</f>
        <v>0</v>
      </c>
      <c r="F17" s="5">
        <f>F22+F27+F37+F42+F52+F57+F72+F77+F67</f>
        <v>0</v>
      </c>
      <c r="G17" s="60">
        <f>G22+G27+G37+G42+G52+G57+G72+G77+G67+G62+G82+G87+G47</f>
        <v>0</v>
      </c>
      <c r="H17" s="5">
        <f>H22+H27+H37+H42+H52+H57+H72+H77+H67+H62</f>
        <v>0</v>
      </c>
      <c r="I17" s="61">
        <f>I22+I27+I37+I42+I52+I57+I72+I77+I67+I62+I82+I87+I47</f>
        <v>0</v>
      </c>
      <c r="J17" s="61">
        <f>J22+J27+J37+J42+J52+J57+J72+J77+J67+J62+J82+J87+J47</f>
        <v>0</v>
      </c>
      <c r="K17" s="28">
        <f>K22+K27+K37+K42+K52+K57+K72+K77+K67+K62+K82+K87+K47</f>
        <v>0</v>
      </c>
      <c r="L17" s="5">
        <f>L22+L27+L37+L42+L52+L57+L72+L77+L67+L62+L82+L87+L47</f>
        <v>0</v>
      </c>
      <c r="M17" s="28">
        <f>L17</f>
        <v>0</v>
      </c>
      <c r="N17" s="146">
        <f>N22+N27+N37+N42+N52+N57+N72+N77+N67+N62+N82+N87+N47</f>
        <v>0</v>
      </c>
      <c r="O17" s="28">
        <f>N17</f>
        <v>0</v>
      </c>
      <c r="P17" s="146">
        <f>P22+P27+P37+P42+P52+P57+P72+P77+P67+P62+P82+P87+P47</f>
        <v>0</v>
      </c>
      <c r="Q17" s="5">
        <f>Q22+Q27+Q37+Q42+Q52+Q57+Q72+Q77+Q67+Q62+Q82+Q87+Q47</f>
        <v>0</v>
      </c>
      <c r="R17" s="54">
        <f t="shared" si="1"/>
        <v>0</v>
      </c>
      <c r="S17" s="55">
        <f>D17+G17+I17+J17+L17+N17+P17+Q17</f>
        <v>0</v>
      </c>
      <c r="U17" s="56"/>
    </row>
    <row r="18" spans="1:21" s="70" customFormat="1" ht="20.25">
      <c r="A18" s="173" t="s">
        <v>11</v>
      </c>
      <c r="B18" s="173" t="s">
        <v>33</v>
      </c>
      <c r="C18" s="63" t="s">
        <v>6</v>
      </c>
      <c r="D18" s="64">
        <f>D19+D20+D21+D22</f>
        <v>1193.9000000000001</v>
      </c>
      <c r="E18" s="65">
        <f>E19+E20+E21+E22</f>
        <v>2170</v>
      </c>
      <c r="F18" s="65">
        <f>F19+F20+F21+F22</f>
        <v>2170</v>
      </c>
      <c r="G18" s="66">
        <f>G19+G20+G21+G22</f>
        <v>915.07717000000002</v>
      </c>
      <c r="H18" s="67">
        <f t="shared" ref="H18:H86" si="3">G18-F18</f>
        <v>-1254.92283</v>
      </c>
      <c r="I18" s="68">
        <f>I19+I20+I21+I22</f>
        <v>379.59521000000001</v>
      </c>
      <c r="J18" s="69">
        <f>J19+J20+J21+J22</f>
        <v>570.82299999999998</v>
      </c>
      <c r="K18" s="18"/>
      <c r="L18" s="6">
        <f>L19+L20+L21+L22</f>
        <v>583</v>
      </c>
      <c r="M18" s="6"/>
      <c r="N18" s="147">
        <f>N19+N20+N21+N22</f>
        <v>333</v>
      </c>
      <c r="O18" s="6"/>
      <c r="P18" s="147">
        <f>P19+P20+P21+P22</f>
        <v>333</v>
      </c>
      <c r="Q18" s="6">
        <f>Q19+Q20+Q21+Q22</f>
        <v>333</v>
      </c>
      <c r="R18" s="54">
        <f t="shared" si="1"/>
        <v>4641.3953799999999</v>
      </c>
      <c r="U18" s="71">
        <f>1193.9+915.077+920+920+1880</f>
        <v>5828.9769999999999</v>
      </c>
    </row>
    <row r="19" spans="1:21" ht="24" customHeight="1">
      <c r="A19" s="174"/>
      <c r="B19" s="174"/>
      <c r="C19" s="72" t="s">
        <v>2</v>
      </c>
      <c r="D19" s="20">
        <v>0</v>
      </c>
      <c r="E19" s="11">
        <v>0</v>
      </c>
      <c r="F19" s="11">
        <v>0</v>
      </c>
      <c r="G19" s="73">
        <v>0</v>
      </c>
      <c r="H19" s="67">
        <f t="shared" si="3"/>
        <v>0</v>
      </c>
      <c r="I19" s="74">
        <v>0</v>
      </c>
      <c r="J19" s="75">
        <v>0</v>
      </c>
      <c r="K19" s="13"/>
      <c r="L19" s="7">
        <v>0</v>
      </c>
      <c r="M19" s="7"/>
      <c r="N19" s="148">
        <v>0</v>
      </c>
      <c r="O19" s="7"/>
      <c r="P19" s="148">
        <v>0</v>
      </c>
      <c r="Q19" s="7">
        <v>0</v>
      </c>
      <c r="R19" s="54">
        <f t="shared" ref="R19:R82" si="4">D19+G19+I19+J19+L19+N19+P19+Q19</f>
        <v>0</v>
      </c>
      <c r="U19" s="76"/>
    </row>
    <row r="20" spans="1:21" ht="20.25">
      <c r="A20" s="174"/>
      <c r="B20" s="174"/>
      <c r="C20" s="72" t="s">
        <v>3</v>
      </c>
      <c r="D20" s="20">
        <v>400.1</v>
      </c>
      <c r="E20" s="11">
        <v>0</v>
      </c>
      <c r="F20" s="11">
        <v>0</v>
      </c>
      <c r="G20" s="73">
        <v>0</v>
      </c>
      <c r="H20" s="67">
        <f t="shared" si="3"/>
        <v>0</v>
      </c>
      <c r="I20" s="74">
        <v>0</v>
      </c>
      <c r="J20" s="75">
        <v>0</v>
      </c>
      <c r="K20" s="13"/>
      <c r="L20" s="7">
        <v>0</v>
      </c>
      <c r="M20" s="7"/>
      <c r="N20" s="148">
        <v>0</v>
      </c>
      <c r="O20" s="7"/>
      <c r="P20" s="148">
        <v>0</v>
      </c>
      <c r="Q20" s="7">
        <v>0</v>
      </c>
      <c r="R20" s="54">
        <f t="shared" si="4"/>
        <v>400.1</v>
      </c>
      <c r="U20" s="76"/>
    </row>
    <row r="21" spans="1:21" ht="20.25">
      <c r="A21" s="174"/>
      <c r="B21" s="174"/>
      <c r="C21" s="72" t="s">
        <v>9</v>
      </c>
      <c r="D21" s="20">
        <v>793.8</v>
      </c>
      <c r="E21" s="11">
        <v>2170</v>
      </c>
      <c r="F21" s="11">
        <v>2170</v>
      </c>
      <c r="G21" s="73">
        <v>915.07717000000002</v>
      </c>
      <c r="H21" s="67">
        <f t="shared" si="3"/>
        <v>-1254.92283</v>
      </c>
      <c r="I21" s="77">
        <v>379.59521000000001</v>
      </c>
      <c r="J21" s="75">
        <v>570.82299999999998</v>
      </c>
      <c r="K21" s="13"/>
      <c r="L21" s="7">
        <v>583</v>
      </c>
      <c r="M21" s="7"/>
      <c r="N21" s="148">
        <f>333</f>
        <v>333</v>
      </c>
      <c r="O21" s="7"/>
      <c r="P21" s="148">
        <v>333</v>
      </c>
      <c r="Q21" s="7">
        <v>333</v>
      </c>
      <c r="R21" s="54">
        <f t="shared" si="4"/>
        <v>4241.2953799999996</v>
      </c>
      <c r="U21" s="76">
        <f>793.8+915.077+920+920+1880</f>
        <v>5428.8770000000004</v>
      </c>
    </row>
    <row r="22" spans="1:21" ht="24" customHeight="1">
      <c r="A22" s="174"/>
      <c r="B22" s="174"/>
      <c r="C22" s="72" t="s">
        <v>4</v>
      </c>
      <c r="D22" s="20">
        <v>0</v>
      </c>
      <c r="E22" s="11">
        <v>0</v>
      </c>
      <c r="F22" s="11">
        <v>0</v>
      </c>
      <c r="G22" s="73">
        <v>0</v>
      </c>
      <c r="H22" s="67">
        <f t="shared" si="3"/>
        <v>0</v>
      </c>
      <c r="I22" s="74"/>
      <c r="J22" s="13">
        <v>0</v>
      </c>
      <c r="K22" s="13"/>
      <c r="L22" s="7">
        <v>0</v>
      </c>
      <c r="M22" s="7"/>
      <c r="N22" s="148">
        <v>0</v>
      </c>
      <c r="O22" s="7"/>
      <c r="P22" s="148">
        <v>0</v>
      </c>
      <c r="Q22" s="7">
        <v>0</v>
      </c>
      <c r="R22" s="54">
        <f t="shared" si="4"/>
        <v>0</v>
      </c>
      <c r="U22" s="76"/>
    </row>
    <row r="23" spans="1:21" s="70" customFormat="1" ht="20.25" customHeight="1">
      <c r="A23" s="173" t="s">
        <v>11</v>
      </c>
      <c r="B23" s="173" t="s">
        <v>34</v>
      </c>
      <c r="C23" s="63" t="s">
        <v>6</v>
      </c>
      <c r="D23" s="19">
        <f>D24+D25+D26+D27</f>
        <v>10149.5</v>
      </c>
      <c r="E23" s="65">
        <f>E24+E25+E26+E27</f>
        <v>14742</v>
      </c>
      <c r="F23" s="65">
        <f>F24+F25+F26+F27</f>
        <v>14742</v>
      </c>
      <c r="G23" s="66">
        <f>G24+G25+G26+G27</f>
        <v>16016.793449999999</v>
      </c>
      <c r="H23" s="67">
        <f t="shared" si="3"/>
        <v>1274.7934499999992</v>
      </c>
      <c r="I23" s="68">
        <f>I24+I25+I26+I27</f>
        <v>15541.838750000001</v>
      </c>
      <c r="J23" s="69">
        <f>J24+J25+J26+J27</f>
        <v>14831.6</v>
      </c>
      <c r="K23" s="18"/>
      <c r="L23" s="6">
        <f>L24+L25+L26+L27</f>
        <v>17376.900000000001</v>
      </c>
      <c r="M23" s="6"/>
      <c r="N23" s="147">
        <f>N24+N25+N26+N27</f>
        <v>20694.8</v>
      </c>
      <c r="O23" s="6"/>
      <c r="P23" s="147">
        <f>P24+P25+P26+P27</f>
        <v>19306.5</v>
      </c>
      <c r="Q23" s="6">
        <f>Q24+Q25+Q26+Q27</f>
        <v>16943</v>
      </c>
      <c r="R23" s="54">
        <f t="shared" si="4"/>
        <v>130860.9322</v>
      </c>
      <c r="U23" s="71">
        <f>10149.5+16016.793+13854.1+9550+10369</f>
        <v>59939.392999999996</v>
      </c>
    </row>
    <row r="24" spans="1:21" ht="25.5" customHeight="1">
      <c r="A24" s="174"/>
      <c r="B24" s="174"/>
      <c r="C24" s="72" t="s">
        <v>2</v>
      </c>
      <c r="D24" s="20">
        <v>0</v>
      </c>
      <c r="E24" s="11">
        <v>0</v>
      </c>
      <c r="F24" s="11">
        <v>0</v>
      </c>
      <c r="G24" s="73">
        <v>0</v>
      </c>
      <c r="H24" s="67">
        <f t="shared" si="3"/>
        <v>0</v>
      </c>
      <c r="I24" s="74">
        <v>0</v>
      </c>
      <c r="J24" s="75">
        <v>0</v>
      </c>
      <c r="K24" s="13"/>
      <c r="L24" s="7">
        <v>0</v>
      </c>
      <c r="M24" s="7"/>
      <c r="N24" s="148">
        <v>0</v>
      </c>
      <c r="O24" s="7"/>
      <c r="P24" s="148">
        <v>0</v>
      </c>
      <c r="Q24" s="7">
        <v>0</v>
      </c>
      <c r="R24" s="54">
        <f t="shared" si="4"/>
        <v>0</v>
      </c>
      <c r="U24" s="76"/>
    </row>
    <row r="25" spans="1:21" ht="20.25">
      <c r="A25" s="174"/>
      <c r="B25" s="174"/>
      <c r="C25" s="72" t="s">
        <v>3</v>
      </c>
      <c r="D25" s="78">
        <v>10149.5</v>
      </c>
      <c r="E25" s="79">
        <v>14742</v>
      </c>
      <c r="F25" s="79">
        <v>14742</v>
      </c>
      <c r="G25" s="73">
        <v>16016.793449999999</v>
      </c>
      <c r="H25" s="67">
        <f t="shared" si="3"/>
        <v>1274.7934499999992</v>
      </c>
      <c r="I25" s="74">
        <v>15541.838750000001</v>
      </c>
      <c r="J25" s="80">
        <v>14831.6</v>
      </c>
      <c r="K25" s="7"/>
      <c r="L25" s="7">
        <v>17376.900000000001</v>
      </c>
      <c r="M25" s="7"/>
      <c r="N25" s="148">
        <v>20694.8</v>
      </c>
      <c r="O25" s="7"/>
      <c r="P25" s="148">
        <v>19306.5</v>
      </c>
      <c r="Q25" s="7">
        <v>16943</v>
      </c>
      <c r="R25" s="54">
        <f t="shared" si="4"/>
        <v>130860.9322</v>
      </c>
      <c r="S25" s="37">
        <v>7793</v>
      </c>
      <c r="U25" s="76"/>
    </row>
    <row r="26" spans="1:21" ht="20.25">
      <c r="A26" s="174"/>
      <c r="B26" s="174"/>
      <c r="C26" s="72" t="s">
        <v>9</v>
      </c>
      <c r="D26" s="20">
        <v>0</v>
      </c>
      <c r="E26" s="11"/>
      <c r="F26" s="11"/>
      <c r="G26" s="73"/>
      <c r="H26" s="67">
        <f t="shared" si="3"/>
        <v>0</v>
      </c>
      <c r="I26" s="74">
        <v>0</v>
      </c>
      <c r="J26" s="13">
        <v>0</v>
      </c>
      <c r="K26" s="13"/>
      <c r="L26" s="7">
        <v>0</v>
      </c>
      <c r="M26" s="7"/>
      <c r="N26" s="148">
        <v>0</v>
      </c>
      <c r="O26" s="7"/>
      <c r="P26" s="148">
        <v>0</v>
      </c>
      <c r="Q26" s="7">
        <v>0</v>
      </c>
      <c r="R26" s="54">
        <f t="shared" si="4"/>
        <v>0</v>
      </c>
      <c r="U26" s="76"/>
    </row>
    <row r="27" spans="1:21" ht="24" customHeight="1">
      <c r="A27" s="175"/>
      <c r="B27" s="175"/>
      <c r="C27" s="72" t="s">
        <v>4</v>
      </c>
      <c r="D27" s="20">
        <v>0</v>
      </c>
      <c r="E27" s="81"/>
      <c r="F27" s="81"/>
      <c r="G27" s="73">
        <v>0</v>
      </c>
      <c r="H27" s="67">
        <f t="shared" si="3"/>
        <v>0</v>
      </c>
      <c r="I27" s="74">
        <v>0</v>
      </c>
      <c r="J27" s="13">
        <v>0</v>
      </c>
      <c r="K27" s="13"/>
      <c r="L27" s="7">
        <v>0</v>
      </c>
      <c r="M27" s="7"/>
      <c r="N27" s="148">
        <v>0</v>
      </c>
      <c r="O27" s="7"/>
      <c r="P27" s="148">
        <v>0</v>
      </c>
      <c r="Q27" s="7">
        <v>0</v>
      </c>
      <c r="R27" s="54">
        <f t="shared" si="4"/>
        <v>0</v>
      </c>
      <c r="U27" s="76"/>
    </row>
    <row r="28" spans="1:21" s="70" customFormat="1" ht="20.25" customHeight="1">
      <c r="A28" s="173" t="s">
        <v>11</v>
      </c>
      <c r="B28" s="173" t="s">
        <v>35</v>
      </c>
      <c r="C28" s="63" t="s">
        <v>6</v>
      </c>
      <c r="D28" s="19">
        <f>D29+D30+D31+D32</f>
        <v>0</v>
      </c>
      <c r="E28" s="65">
        <f>E29+E30+E31+E32</f>
        <v>0</v>
      </c>
      <c r="F28" s="65">
        <f>F29+F30+F31+F32</f>
        <v>0</v>
      </c>
      <c r="G28" s="66">
        <f>G29+G30+G31+G32</f>
        <v>0</v>
      </c>
      <c r="H28" s="67">
        <f>G28-F28</f>
        <v>0</v>
      </c>
      <c r="I28" s="68">
        <f>I29+I30+I31+I32</f>
        <v>0</v>
      </c>
      <c r="J28" s="18">
        <f>J29+J30+J31+J32</f>
        <v>0</v>
      </c>
      <c r="K28" s="18"/>
      <c r="L28" s="6">
        <f>L29+L30+L31+L32</f>
        <v>50</v>
      </c>
      <c r="M28" s="6"/>
      <c r="N28" s="147">
        <f>N29+N30+N31+N32</f>
        <v>50</v>
      </c>
      <c r="O28" s="6"/>
      <c r="P28" s="147">
        <f>P29+P30+P31+P32</f>
        <v>50</v>
      </c>
      <c r="Q28" s="6">
        <f>Q29+Q30+Q31+Q32</f>
        <v>50</v>
      </c>
      <c r="R28" s="54">
        <f t="shared" si="4"/>
        <v>200</v>
      </c>
      <c r="U28" s="71">
        <f>10149.5+16016.793+13854.1+9550+10369</f>
        <v>59939.392999999996</v>
      </c>
    </row>
    <row r="29" spans="1:21" ht="25.5" customHeight="1">
      <c r="A29" s="174"/>
      <c r="B29" s="174"/>
      <c r="C29" s="72" t="s">
        <v>2</v>
      </c>
      <c r="D29" s="20">
        <v>0</v>
      </c>
      <c r="E29" s="11">
        <v>0</v>
      </c>
      <c r="F29" s="11">
        <v>0</v>
      </c>
      <c r="G29" s="73">
        <v>0</v>
      </c>
      <c r="H29" s="67">
        <f>G29-F29</f>
        <v>0</v>
      </c>
      <c r="I29" s="74">
        <v>0</v>
      </c>
      <c r="J29" s="13">
        <v>0</v>
      </c>
      <c r="K29" s="13"/>
      <c r="L29" s="7">
        <v>0</v>
      </c>
      <c r="M29" s="7"/>
      <c r="N29" s="148">
        <v>0</v>
      </c>
      <c r="O29" s="7"/>
      <c r="P29" s="148">
        <v>0</v>
      </c>
      <c r="Q29" s="7">
        <v>0</v>
      </c>
      <c r="R29" s="54">
        <f t="shared" si="4"/>
        <v>0</v>
      </c>
      <c r="U29" s="76"/>
    </row>
    <row r="30" spans="1:21" ht="20.25">
      <c r="A30" s="174"/>
      <c r="B30" s="174"/>
      <c r="C30" s="72" t="s">
        <v>3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7">
        <v>0</v>
      </c>
      <c r="K30" s="7"/>
      <c r="L30" s="7">
        <v>0</v>
      </c>
      <c r="M30" s="7">
        <v>0</v>
      </c>
      <c r="N30" s="148">
        <v>0</v>
      </c>
      <c r="O30" s="7">
        <v>0</v>
      </c>
      <c r="P30" s="148">
        <v>0</v>
      </c>
      <c r="Q30" s="7">
        <v>0</v>
      </c>
      <c r="R30" s="54">
        <f t="shared" si="4"/>
        <v>0</v>
      </c>
      <c r="S30" s="37">
        <v>7793</v>
      </c>
      <c r="U30" s="76"/>
    </row>
    <row r="31" spans="1:21" ht="20.25">
      <c r="A31" s="174"/>
      <c r="B31" s="174"/>
      <c r="C31" s="72" t="s">
        <v>9</v>
      </c>
      <c r="D31" s="20">
        <v>0</v>
      </c>
      <c r="E31" s="11"/>
      <c r="F31" s="11"/>
      <c r="G31" s="73"/>
      <c r="H31" s="67">
        <f>G31-F31</f>
        <v>0</v>
      </c>
      <c r="I31" s="74">
        <v>0</v>
      </c>
      <c r="J31" s="13">
        <v>0</v>
      </c>
      <c r="K31" s="13"/>
      <c r="L31" s="7">
        <v>50</v>
      </c>
      <c r="M31" s="7"/>
      <c r="N31" s="148">
        <v>50</v>
      </c>
      <c r="O31" s="7"/>
      <c r="P31" s="148">
        <v>50</v>
      </c>
      <c r="Q31" s="7">
        <v>50</v>
      </c>
      <c r="R31" s="54">
        <f t="shared" si="4"/>
        <v>200</v>
      </c>
      <c r="U31" s="76"/>
    </row>
    <row r="32" spans="1:21" ht="40.5">
      <c r="A32" s="175"/>
      <c r="B32" s="175"/>
      <c r="C32" s="72" t="s">
        <v>4</v>
      </c>
      <c r="D32" s="20">
        <v>0</v>
      </c>
      <c r="E32" s="81"/>
      <c r="F32" s="81"/>
      <c r="G32" s="73">
        <v>0</v>
      </c>
      <c r="H32" s="67">
        <f>G32-F32</f>
        <v>0</v>
      </c>
      <c r="I32" s="74">
        <v>0</v>
      </c>
      <c r="J32" s="13">
        <v>0</v>
      </c>
      <c r="K32" s="13"/>
      <c r="L32" s="7">
        <v>0</v>
      </c>
      <c r="M32" s="7"/>
      <c r="N32" s="148">
        <v>0</v>
      </c>
      <c r="O32" s="7"/>
      <c r="P32" s="148">
        <v>0</v>
      </c>
      <c r="Q32" s="7">
        <v>0</v>
      </c>
      <c r="R32" s="54">
        <f t="shared" si="4"/>
        <v>0</v>
      </c>
      <c r="U32" s="76"/>
    </row>
    <row r="33" spans="1:21" s="70" customFormat="1" ht="20.25" customHeight="1">
      <c r="A33" s="82" t="s">
        <v>14</v>
      </c>
      <c r="B33" s="173" t="s">
        <v>19</v>
      </c>
      <c r="C33" s="63" t="s">
        <v>6</v>
      </c>
      <c r="D33" s="19">
        <f>D34+D35+D36+D37</f>
        <v>125819.1</v>
      </c>
      <c r="E33" s="83">
        <f>E34+E35+E36+E37</f>
        <v>118753.7</v>
      </c>
      <c r="F33" s="83">
        <f>F34+F35+F36+F37</f>
        <v>121920.1</v>
      </c>
      <c r="G33" s="66">
        <f>G34+G35+G36+G37-0.001</f>
        <v>138997.21671000001</v>
      </c>
      <c r="H33" s="67">
        <f t="shared" si="3"/>
        <v>17077.116710000002</v>
      </c>
      <c r="I33" s="68">
        <f>I34+I35+I36+I37</f>
        <v>124616.94589999999</v>
      </c>
      <c r="J33" s="84">
        <f>J34+J35+J36+J37</f>
        <v>125148.533</v>
      </c>
      <c r="K33" s="8"/>
      <c r="L33" s="8">
        <f>L34+L35+L36+L37</f>
        <v>142735.29999999999</v>
      </c>
      <c r="M33" s="29"/>
      <c r="N33" s="149">
        <f>N34+N35+N36+N37</f>
        <v>176168.59999999998</v>
      </c>
      <c r="O33" s="29"/>
      <c r="P33" s="149">
        <f>P34+P35+P36+P37</f>
        <v>153335.9</v>
      </c>
      <c r="Q33" s="29">
        <f>Q34+Q35+Q36+Q37</f>
        <v>152351.5</v>
      </c>
      <c r="R33" s="54">
        <f t="shared" si="4"/>
        <v>1139173.09561</v>
      </c>
      <c r="S33" s="85">
        <f>D33+D53</f>
        <v>136286.39999999999</v>
      </c>
      <c r="T33" s="70">
        <f>111152.5+162-72</f>
        <v>111242.5</v>
      </c>
      <c r="U33" s="86"/>
    </row>
    <row r="34" spans="1:21" ht="24" customHeight="1">
      <c r="A34" s="136"/>
      <c r="B34" s="174"/>
      <c r="C34" s="72" t="s">
        <v>2</v>
      </c>
      <c r="D34" s="20">
        <v>0</v>
      </c>
      <c r="E34" s="87"/>
      <c r="F34" s="87"/>
      <c r="G34" s="88"/>
      <c r="H34" s="67">
        <f t="shared" si="3"/>
        <v>0</v>
      </c>
      <c r="I34" s="74"/>
      <c r="J34" s="9"/>
      <c r="K34" s="9"/>
      <c r="L34" s="9"/>
      <c r="M34" s="7"/>
      <c r="N34" s="148"/>
      <c r="O34" s="7"/>
      <c r="P34" s="148"/>
      <c r="Q34" s="7"/>
      <c r="R34" s="54">
        <f t="shared" si="4"/>
        <v>0</v>
      </c>
      <c r="S34" s="89">
        <f>172605.8-30-32132.8+2292.3</f>
        <v>142735.29999999999</v>
      </c>
      <c r="T34" s="90">
        <f>J33-S34</f>
        <v>-17586.766999999993</v>
      </c>
      <c r="U34" s="76"/>
    </row>
    <row r="35" spans="1:21" ht="20.25">
      <c r="A35" s="136"/>
      <c r="B35" s="174"/>
      <c r="C35" s="72" t="s">
        <v>3</v>
      </c>
      <c r="D35" s="31">
        <v>59655.9</v>
      </c>
      <c r="E35" s="87">
        <f>43046.2+8313-136</f>
        <v>51223.199999999997</v>
      </c>
      <c r="F35" s="87">
        <f>43046.2+8313-136</f>
        <v>51223.199999999997</v>
      </c>
      <c r="G35" s="91">
        <v>58173.612439999997</v>
      </c>
      <c r="H35" s="67">
        <f t="shared" si="3"/>
        <v>6950.4124400000001</v>
      </c>
      <c r="I35" s="92">
        <f>(1425871.86+2304128.14+39385133.32+13331546.45+83798.14+1099590.66+29931.43+6102573.36)/1000</f>
        <v>63762.573359999995</v>
      </c>
      <c r="J35" s="93">
        <v>64859.974999999999</v>
      </c>
      <c r="K35" s="10"/>
      <c r="L35" s="10">
        <f>16040.8+62930.7+2292.3</f>
        <v>81263.8</v>
      </c>
      <c r="M35" s="13">
        <f>57466.5+2528.1+2422.6</f>
        <v>62417.2</v>
      </c>
      <c r="N35" s="150">
        <v>82241.7</v>
      </c>
      <c r="O35" s="13">
        <f>57466.5+2528.1+2422.6</f>
        <v>62417.2</v>
      </c>
      <c r="P35" s="150">
        <f>6867+61699.7+2247.3+5.4</f>
        <v>70819.399999999994</v>
      </c>
      <c r="Q35" s="30">
        <f>4617+61699.7+2247.3+5.4</f>
        <v>68569.399999999994</v>
      </c>
      <c r="R35" s="54">
        <f t="shared" si="4"/>
        <v>549346.36080000002</v>
      </c>
      <c r="S35" s="94">
        <f>169467.3-21500+2247.3+4.8+5.4</f>
        <v>150224.79999999996</v>
      </c>
      <c r="T35" s="10">
        <f>S35-N33</f>
        <v>-25943.800000000017</v>
      </c>
      <c r="U35" s="76"/>
    </row>
    <row r="36" spans="1:21" ht="20.25">
      <c r="A36" s="136"/>
      <c r="B36" s="174"/>
      <c r="C36" s="72" t="s">
        <v>9</v>
      </c>
      <c r="D36" s="31">
        <v>66163.199999999997</v>
      </c>
      <c r="E36" s="95">
        <f>67419.9+110.6</f>
        <v>67530.5</v>
      </c>
      <c r="F36" s="95">
        <f>70586.3+110.6</f>
        <v>70696.900000000009</v>
      </c>
      <c r="G36" s="91">
        <v>80823.60527</v>
      </c>
      <c r="H36" s="67">
        <f t="shared" si="3"/>
        <v>10126.705269999991</v>
      </c>
      <c r="I36" s="92">
        <f>(30043972.59+8217680.17+53452.39+18535009.28+2417200+9444.03+73764.08+692000+811850)/1000</f>
        <v>60854.372539999997</v>
      </c>
      <c r="J36" s="96">
        <v>60288.557999999997</v>
      </c>
      <c r="K36" s="9"/>
      <c r="L36" s="9">
        <f>59738.8+1307.6+425.1</f>
        <v>61471.5</v>
      </c>
      <c r="M36" s="31"/>
      <c r="N36" s="151">
        <v>93926.9</v>
      </c>
      <c r="O36" s="31"/>
      <c r="P36" s="151">
        <f>82511.7+4.8</f>
        <v>82516.5</v>
      </c>
      <c r="Q36" s="31">
        <f>83777.3+4.8</f>
        <v>83782.100000000006</v>
      </c>
      <c r="R36" s="54">
        <f t="shared" si="4"/>
        <v>589826.73580999998</v>
      </c>
      <c r="S36" s="37">
        <f>17902+971.7</f>
        <v>18873.7</v>
      </c>
      <c r="T36" s="9"/>
      <c r="U36" s="76"/>
    </row>
    <row r="37" spans="1:21" ht="40.5">
      <c r="A37" s="137"/>
      <c r="B37" s="175"/>
      <c r="C37" s="72" t="s">
        <v>4</v>
      </c>
      <c r="D37" s="20">
        <v>0</v>
      </c>
      <c r="E37" s="79">
        <v>0</v>
      </c>
      <c r="F37" s="79">
        <v>0</v>
      </c>
      <c r="G37" s="91">
        <v>0</v>
      </c>
      <c r="H37" s="67">
        <f t="shared" si="3"/>
        <v>0</v>
      </c>
      <c r="I37" s="74">
        <v>0</v>
      </c>
      <c r="J37" s="7"/>
      <c r="K37" s="7"/>
      <c r="L37" s="7">
        <v>0</v>
      </c>
      <c r="M37" s="7"/>
      <c r="N37" s="148">
        <v>0</v>
      </c>
      <c r="O37" s="7"/>
      <c r="P37" s="148">
        <v>0</v>
      </c>
      <c r="Q37" s="7">
        <v>0</v>
      </c>
      <c r="R37" s="54">
        <f t="shared" si="4"/>
        <v>0</v>
      </c>
      <c r="U37" s="76"/>
    </row>
    <row r="38" spans="1:21" s="70" customFormat="1" ht="20.25">
      <c r="A38" s="82" t="s">
        <v>14</v>
      </c>
      <c r="B38" s="176" t="s">
        <v>16</v>
      </c>
      <c r="C38" s="63" t="s">
        <v>6</v>
      </c>
      <c r="D38" s="19">
        <f>D39+D40+D41+D42</f>
        <v>100409.5</v>
      </c>
      <c r="E38" s="65">
        <f>E39+E40+E41+E42</f>
        <v>87970.8</v>
      </c>
      <c r="F38" s="65">
        <f>F39+F40+F41+F42</f>
        <v>104038.1</v>
      </c>
      <c r="G38" s="66">
        <f>G39+G40+G41+G42+0.001</f>
        <v>109976.05824</v>
      </c>
      <c r="H38" s="67">
        <f t="shared" si="3"/>
        <v>5937.9582399999927</v>
      </c>
      <c r="I38" s="68">
        <f>I39+I40+I41+I42</f>
        <v>108170.78227</v>
      </c>
      <c r="J38" s="97">
        <f>J39+J40+J41+J42</f>
        <v>109479.989</v>
      </c>
      <c r="K38" s="6"/>
      <c r="L38" s="6">
        <f>L39+L40+L41+L42</f>
        <v>105944.9</v>
      </c>
      <c r="M38" s="6"/>
      <c r="N38" s="147">
        <f>N39+N40+N41+N42</f>
        <v>109108</v>
      </c>
      <c r="O38" s="6"/>
      <c r="P38" s="147">
        <f>P39+P40+P41+P42</f>
        <v>94335.5</v>
      </c>
      <c r="Q38" s="6">
        <f>Q39+Q40+Q41+Q42</f>
        <v>96146</v>
      </c>
      <c r="R38" s="54">
        <f t="shared" si="4"/>
        <v>833570.72950999998</v>
      </c>
      <c r="S38" s="85">
        <f>D38+D68</f>
        <v>119094</v>
      </c>
      <c r="T38" s="70">
        <f>111152.5+162-72</f>
        <v>111242.5</v>
      </c>
      <c r="U38" s="86">
        <f>S38-T38</f>
        <v>7851.5</v>
      </c>
    </row>
    <row r="39" spans="1:21" ht="25.5" customHeight="1">
      <c r="A39" s="136"/>
      <c r="B39" s="177"/>
      <c r="C39" s="72" t="s">
        <v>2</v>
      </c>
      <c r="D39" s="20">
        <v>1606.2</v>
      </c>
      <c r="E39" s="11">
        <v>0</v>
      </c>
      <c r="F39" s="11">
        <v>0</v>
      </c>
      <c r="G39" s="73">
        <v>0</v>
      </c>
      <c r="H39" s="67">
        <f t="shared" si="3"/>
        <v>0</v>
      </c>
      <c r="I39" s="74">
        <v>0</v>
      </c>
      <c r="J39" s="7"/>
      <c r="K39" s="7"/>
      <c r="L39" s="7">
        <v>0</v>
      </c>
      <c r="M39" s="7"/>
      <c r="N39" s="148">
        <v>0</v>
      </c>
      <c r="O39" s="7"/>
      <c r="P39" s="148">
        <v>0</v>
      </c>
      <c r="Q39" s="7">
        <v>0</v>
      </c>
      <c r="R39" s="54">
        <f t="shared" si="4"/>
        <v>1606.2</v>
      </c>
      <c r="U39" s="76"/>
    </row>
    <row r="40" spans="1:21" ht="20.25">
      <c r="A40" s="136"/>
      <c r="B40" s="177"/>
      <c r="C40" s="72" t="s">
        <v>3</v>
      </c>
      <c r="D40" s="20">
        <v>77987.600000000006</v>
      </c>
      <c r="E40" s="11">
        <v>71135</v>
      </c>
      <c r="F40" s="11">
        <v>85503</v>
      </c>
      <c r="G40" s="73">
        <v>88619.254520000002</v>
      </c>
      <c r="H40" s="67">
        <f t="shared" si="3"/>
        <v>3116.2545200000022</v>
      </c>
      <c r="I40" s="77">
        <v>91107.426640000005</v>
      </c>
      <c r="J40" s="80">
        <v>92068.173999999999</v>
      </c>
      <c r="K40" s="7"/>
      <c r="L40" s="7">
        <v>86324.7</v>
      </c>
      <c r="M40" s="7"/>
      <c r="N40" s="152">
        <v>82635</v>
      </c>
      <c r="O40" s="7"/>
      <c r="P40" s="148">
        <v>73718</v>
      </c>
      <c r="Q40" s="7">
        <v>74093</v>
      </c>
      <c r="R40" s="54">
        <f t="shared" si="4"/>
        <v>666553.15516000008</v>
      </c>
      <c r="S40" s="37">
        <f>1323+809.6+74085</f>
        <v>76217.600000000006</v>
      </c>
      <c r="U40" s="76"/>
    </row>
    <row r="41" spans="1:21" ht="20.25">
      <c r="A41" s="136"/>
      <c r="B41" s="177"/>
      <c r="C41" s="72" t="s">
        <v>9</v>
      </c>
      <c r="D41" s="20">
        <v>20815.7</v>
      </c>
      <c r="E41" s="11">
        <v>16835.8</v>
      </c>
      <c r="F41" s="11">
        <v>18535.099999999999</v>
      </c>
      <c r="G41" s="73">
        <v>21356.80272</v>
      </c>
      <c r="H41" s="67">
        <f t="shared" si="3"/>
        <v>2821.7027200000011</v>
      </c>
      <c r="I41" s="77">
        <v>17063.355629999998</v>
      </c>
      <c r="J41" s="80">
        <v>17411.814999999999</v>
      </c>
      <c r="K41" s="7"/>
      <c r="L41" s="7">
        <v>19620.2</v>
      </c>
      <c r="M41" s="7"/>
      <c r="N41" s="148">
        <v>26473</v>
      </c>
      <c r="O41" s="7"/>
      <c r="P41" s="148">
        <f>16993+3624.5</f>
        <v>20617.5</v>
      </c>
      <c r="Q41" s="7">
        <f>16993+5060</f>
        <v>22053</v>
      </c>
      <c r="R41" s="54">
        <f t="shared" si="4"/>
        <v>165411.37335000001</v>
      </c>
      <c r="S41" s="37">
        <f>17902+971.7</f>
        <v>18873.7</v>
      </c>
      <c r="U41" s="76"/>
    </row>
    <row r="42" spans="1:21" ht="40.5">
      <c r="A42" s="137"/>
      <c r="B42" s="178"/>
      <c r="C42" s="72" t="s">
        <v>4</v>
      </c>
      <c r="D42" s="20">
        <v>0</v>
      </c>
      <c r="E42" s="11">
        <v>0</v>
      </c>
      <c r="F42" s="11">
        <v>0</v>
      </c>
      <c r="G42" s="73">
        <v>0</v>
      </c>
      <c r="H42" s="67">
        <f t="shared" si="3"/>
        <v>0</v>
      </c>
      <c r="I42" s="74">
        <v>0</v>
      </c>
      <c r="J42" s="13"/>
      <c r="K42" s="13"/>
      <c r="L42" s="7">
        <v>0</v>
      </c>
      <c r="M42" s="7"/>
      <c r="N42" s="148">
        <v>0</v>
      </c>
      <c r="O42" s="7"/>
      <c r="P42" s="148">
        <v>0</v>
      </c>
      <c r="Q42" s="7">
        <v>0</v>
      </c>
      <c r="R42" s="54">
        <f t="shared" si="4"/>
        <v>0</v>
      </c>
      <c r="U42" s="76"/>
    </row>
    <row r="43" spans="1:21" s="70" customFormat="1" ht="20.25">
      <c r="A43" s="173" t="s">
        <v>14</v>
      </c>
      <c r="B43" s="174" t="s">
        <v>30</v>
      </c>
      <c r="C43" s="63" t="s">
        <v>6</v>
      </c>
      <c r="D43" s="19">
        <f>D44+D45+D46+D47</f>
        <v>0</v>
      </c>
      <c r="E43" s="65">
        <f>E44+E45+E46+E47</f>
        <v>0</v>
      </c>
      <c r="F43" s="65">
        <f>F44+F45+F46+F47</f>
        <v>0</v>
      </c>
      <c r="G43" s="66">
        <f>G44+G45+G46+G47</f>
        <v>0</v>
      </c>
      <c r="H43" s="67">
        <f>G43-F43</f>
        <v>0</v>
      </c>
      <c r="I43" s="68">
        <f>I44+I45+I46+I47</f>
        <v>428.95591000000002</v>
      </c>
      <c r="J43" s="69">
        <f>J44+J45+J46+J47</f>
        <v>463.97300000000001</v>
      </c>
      <c r="K43" s="18"/>
      <c r="L43" s="6">
        <f>L44+L45+L46+L47</f>
        <v>99.1</v>
      </c>
      <c r="M43" s="6"/>
      <c r="N43" s="147">
        <f>N44+N45+N46+N47</f>
        <v>100</v>
      </c>
      <c r="O43" s="6"/>
      <c r="P43" s="147">
        <f>P44+P45+P46+P47</f>
        <v>100</v>
      </c>
      <c r="Q43" s="6">
        <f>Q44+Q45+Q46+Q47</f>
        <v>100</v>
      </c>
      <c r="R43" s="54">
        <f t="shared" si="4"/>
        <v>1292.02891</v>
      </c>
      <c r="S43" s="98">
        <f>I38+I68+92+7886</f>
        <v>139819.39085</v>
      </c>
      <c r="U43" s="71"/>
    </row>
    <row r="44" spans="1:21" ht="21.75" customHeight="1">
      <c r="A44" s="174"/>
      <c r="B44" s="174"/>
      <c r="C44" s="72" t="s">
        <v>2</v>
      </c>
      <c r="D44" s="20">
        <v>0</v>
      </c>
      <c r="E44" s="11">
        <v>0</v>
      </c>
      <c r="F44" s="11">
        <v>0</v>
      </c>
      <c r="G44" s="73">
        <v>0</v>
      </c>
      <c r="H44" s="67">
        <f>G44-F44</f>
        <v>0</v>
      </c>
      <c r="I44" s="74">
        <v>0</v>
      </c>
      <c r="J44" s="11">
        <v>0</v>
      </c>
      <c r="K44" s="11"/>
      <c r="L44" s="11">
        <v>0</v>
      </c>
      <c r="M44" s="11"/>
      <c r="N44" s="153">
        <v>0</v>
      </c>
      <c r="O44" s="11"/>
      <c r="P44" s="153">
        <v>0</v>
      </c>
      <c r="Q44" s="11">
        <v>0</v>
      </c>
      <c r="R44" s="54">
        <f t="shared" si="4"/>
        <v>0</v>
      </c>
      <c r="S44" s="99">
        <f>127761.7</f>
        <v>127761.7</v>
      </c>
      <c r="U44" s="76"/>
    </row>
    <row r="45" spans="1:21" ht="20.25">
      <c r="A45" s="174"/>
      <c r="B45" s="174"/>
      <c r="C45" s="72" t="s">
        <v>3</v>
      </c>
      <c r="D45" s="20">
        <v>0</v>
      </c>
      <c r="E45" s="11"/>
      <c r="F45" s="11"/>
      <c r="G45" s="73">
        <v>0</v>
      </c>
      <c r="H45" s="67">
        <f>G45-F45</f>
        <v>0</v>
      </c>
      <c r="I45" s="74">
        <v>0</v>
      </c>
      <c r="J45" s="11">
        <v>0</v>
      </c>
      <c r="K45" s="11"/>
      <c r="L45" s="11">
        <v>0</v>
      </c>
      <c r="M45" s="11"/>
      <c r="N45" s="153">
        <v>0</v>
      </c>
      <c r="O45" s="11"/>
      <c r="P45" s="153">
        <v>0</v>
      </c>
      <c r="Q45" s="11">
        <v>0</v>
      </c>
      <c r="R45" s="54">
        <f t="shared" si="4"/>
        <v>0</v>
      </c>
      <c r="S45" s="100">
        <f>S44-S43</f>
        <v>-12057.690849999999</v>
      </c>
      <c r="U45" s="76"/>
    </row>
    <row r="46" spans="1:21" ht="20.25">
      <c r="A46" s="174"/>
      <c r="B46" s="174"/>
      <c r="C46" s="72" t="s">
        <v>9</v>
      </c>
      <c r="D46" s="20">
        <v>0</v>
      </c>
      <c r="E46" s="11"/>
      <c r="F46" s="11"/>
      <c r="G46" s="73">
        <v>0</v>
      </c>
      <c r="H46" s="67">
        <f>G46-F46</f>
        <v>0</v>
      </c>
      <c r="I46" s="101">
        <v>428.95591000000002</v>
      </c>
      <c r="J46" s="102">
        <v>463.97300000000001</v>
      </c>
      <c r="K46" s="11"/>
      <c r="L46" s="11">
        <v>99.1</v>
      </c>
      <c r="M46" s="11"/>
      <c r="N46" s="153">
        <v>100</v>
      </c>
      <c r="O46" s="11"/>
      <c r="P46" s="153">
        <v>100</v>
      </c>
      <c r="Q46" s="11">
        <v>100</v>
      </c>
      <c r="R46" s="54">
        <f t="shared" si="4"/>
        <v>1292.02891</v>
      </c>
      <c r="U46" s="76"/>
    </row>
    <row r="47" spans="1:21" ht="20.25">
      <c r="A47" s="174"/>
      <c r="B47" s="175"/>
      <c r="C47" s="103" t="s">
        <v>4</v>
      </c>
      <c r="D47" s="20">
        <v>0</v>
      </c>
      <c r="E47" s="11">
        <v>0</v>
      </c>
      <c r="F47" s="11">
        <v>0</v>
      </c>
      <c r="G47" s="73">
        <v>0</v>
      </c>
      <c r="H47" s="67">
        <f>G47-F47</f>
        <v>0</v>
      </c>
      <c r="I47" s="74">
        <v>0</v>
      </c>
      <c r="J47" s="11">
        <v>0</v>
      </c>
      <c r="K47" s="11"/>
      <c r="L47" s="7">
        <v>0</v>
      </c>
      <c r="M47" s="7"/>
      <c r="N47" s="148">
        <v>0</v>
      </c>
      <c r="O47" s="7"/>
      <c r="P47" s="148">
        <v>0</v>
      </c>
      <c r="Q47" s="7">
        <v>0</v>
      </c>
      <c r="R47" s="54">
        <f t="shared" si="4"/>
        <v>0</v>
      </c>
      <c r="U47" s="76"/>
    </row>
    <row r="48" spans="1:21" s="70" customFormat="1" ht="20.25">
      <c r="A48" s="173" t="s">
        <v>14</v>
      </c>
      <c r="B48" s="174" t="s">
        <v>15</v>
      </c>
      <c r="C48" s="63" t="s">
        <v>6</v>
      </c>
      <c r="D48" s="19">
        <f>D49+D50+D51+D52</f>
        <v>1421.7</v>
      </c>
      <c r="E48" s="65">
        <f>E49+E50+E51+E52</f>
        <v>447.7</v>
      </c>
      <c r="F48" s="65">
        <f>F49+F50+F51+F52</f>
        <v>1993.2</v>
      </c>
      <c r="G48" s="66">
        <f>G49+G50+G51+G52</f>
        <v>1984.8144400000001</v>
      </c>
      <c r="H48" s="67">
        <f t="shared" si="3"/>
        <v>-8.3855599999999413</v>
      </c>
      <c r="I48" s="68">
        <f>I49+I50+I51+I52</f>
        <v>1170.1449</v>
      </c>
      <c r="J48" s="69">
        <f>J49+J50+J51+J52</f>
        <v>1017.0940000000001</v>
      </c>
      <c r="K48" s="18"/>
      <c r="L48" s="12">
        <f>L49+L50+L51+L52</f>
        <v>1016.5</v>
      </c>
      <c r="M48" s="12"/>
      <c r="N48" s="154">
        <f>N49+N50+N51+N52</f>
        <v>1116.4000000000001</v>
      </c>
      <c r="O48" s="12"/>
      <c r="P48" s="154">
        <f>P49+P50+P51+P52</f>
        <v>1116.4000000000001</v>
      </c>
      <c r="Q48" s="12">
        <f>Q49+Q50+Q51+Q52</f>
        <v>1116.4000000000001</v>
      </c>
      <c r="R48" s="54">
        <f t="shared" si="4"/>
        <v>9959.45334</v>
      </c>
      <c r="U48" s="71"/>
    </row>
    <row r="49" spans="1:21" ht="21.75" customHeight="1">
      <c r="A49" s="174"/>
      <c r="B49" s="174"/>
      <c r="C49" s="72" t="s">
        <v>2</v>
      </c>
      <c r="D49" s="20">
        <v>0</v>
      </c>
      <c r="E49" s="11">
        <v>0</v>
      </c>
      <c r="F49" s="11">
        <v>0</v>
      </c>
      <c r="G49" s="73">
        <v>0</v>
      </c>
      <c r="H49" s="67">
        <f t="shared" si="3"/>
        <v>0</v>
      </c>
      <c r="I49" s="74">
        <v>0</v>
      </c>
      <c r="J49" s="13"/>
      <c r="K49" s="13"/>
      <c r="L49" s="7">
        <v>0</v>
      </c>
      <c r="M49" s="7"/>
      <c r="N49" s="148">
        <v>0</v>
      </c>
      <c r="O49" s="7"/>
      <c r="P49" s="148">
        <v>0</v>
      </c>
      <c r="Q49" s="7">
        <v>0</v>
      </c>
      <c r="R49" s="54">
        <f t="shared" si="4"/>
        <v>0</v>
      </c>
      <c r="U49" s="76"/>
    </row>
    <row r="50" spans="1:21" ht="20.25">
      <c r="A50" s="174"/>
      <c r="B50" s="174"/>
      <c r="C50" s="72" t="s">
        <v>3</v>
      </c>
      <c r="D50" s="20">
        <v>1006.2</v>
      </c>
      <c r="E50" s="11">
        <v>0</v>
      </c>
      <c r="F50" s="11">
        <v>955.3</v>
      </c>
      <c r="G50" s="73">
        <v>954.64300000000003</v>
      </c>
      <c r="H50" s="67">
        <f t="shared" si="3"/>
        <v>-0.65699999999992542</v>
      </c>
      <c r="I50" s="77">
        <v>698.32732999999996</v>
      </c>
      <c r="J50" s="75">
        <v>600.51400000000001</v>
      </c>
      <c r="K50" s="13"/>
      <c r="L50" s="13">
        <v>600.4</v>
      </c>
      <c r="M50" s="30">
        <v>602.64</v>
      </c>
      <c r="N50" s="150">
        <v>690.1</v>
      </c>
      <c r="O50" s="30">
        <v>602.6</v>
      </c>
      <c r="P50" s="150">
        <v>690.1</v>
      </c>
      <c r="Q50" s="30">
        <v>690.1</v>
      </c>
      <c r="R50" s="54">
        <f t="shared" si="4"/>
        <v>5930.3843300000008</v>
      </c>
      <c r="U50" s="76"/>
    </row>
    <row r="51" spans="1:21" ht="20.25">
      <c r="A51" s="174"/>
      <c r="B51" s="174"/>
      <c r="C51" s="72" t="s">
        <v>9</v>
      </c>
      <c r="D51" s="20">
        <v>415.5</v>
      </c>
      <c r="E51" s="11">
        <v>447.7</v>
      </c>
      <c r="F51" s="11">
        <v>1037.9000000000001</v>
      </c>
      <c r="G51" s="73">
        <v>1030.1714400000001</v>
      </c>
      <c r="H51" s="67">
        <f t="shared" si="3"/>
        <v>-7.7285600000000159</v>
      </c>
      <c r="I51" s="77">
        <v>471.81756999999999</v>
      </c>
      <c r="J51" s="75">
        <v>416.58</v>
      </c>
      <c r="K51" s="13"/>
      <c r="L51" s="13">
        <v>416.1</v>
      </c>
      <c r="M51" s="13"/>
      <c r="N51" s="152">
        <v>426.3</v>
      </c>
      <c r="O51" s="13"/>
      <c r="P51" s="152">
        <v>426.3</v>
      </c>
      <c r="Q51" s="13">
        <v>426.3</v>
      </c>
      <c r="R51" s="54">
        <f t="shared" si="4"/>
        <v>4029.0690100000006</v>
      </c>
      <c r="U51" s="76"/>
    </row>
    <row r="52" spans="1:21" ht="20.25">
      <c r="A52" s="174"/>
      <c r="B52" s="175"/>
      <c r="C52" s="103" t="s">
        <v>4</v>
      </c>
      <c r="D52" s="20">
        <v>0</v>
      </c>
      <c r="E52" s="11">
        <v>0</v>
      </c>
      <c r="F52" s="11">
        <v>0</v>
      </c>
      <c r="G52" s="73">
        <v>0</v>
      </c>
      <c r="H52" s="67">
        <f t="shared" si="3"/>
        <v>0</v>
      </c>
      <c r="I52" s="74">
        <v>0</v>
      </c>
      <c r="J52" s="13"/>
      <c r="K52" s="13"/>
      <c r="L52" s="7">
        <v>0</v>
      </c>
      <c r="M52" s="7"/>
      <c r="N52" s="148">
        <v>0</v>
      </c>
      <c r="O52" s="7"/>
      <c r="P52" s="148">
        <v>0</v>
      </c>
      <c r="Q52" s="7">
        <v>0</v>
      </c>
      <c r="R52" s="54">
        <f t="shared" si="4"/>
        <v>0</v>
      </c>
      <c r="U52" s="76"/>
    </row>
    <row r="53" spans="1:21" s="107" customFormat="1" ht="20.25">
      <c r="A53" s="179" t="s">
        <v>14</v>
      </c>
      <c r="B53" s="180" t="s">
        <v>20</v>
      </c>
      <c r="C53" s="104" t="s">
        <v>6</v>
      </c>
      <c r="D53" s="19">
        <f>D54+D55+D56+D57</f>
        <v>10467.299999999999</v>
      </c>
      <c r="E53" s="105">
        <f>E54+E55+E56+E57</f>
        <v>0</v>
      </c>
      <c r="F53" s="105">
        <f>F54+F55+F56+F57</f>
        <v>0</v>
      </c>
      <c r="G53" s="106">
        <f>G54+G55+G56+G57</f>
        <v>0</v>
      </c>
      <c r="H53" s="67">
        <f t="shared" si="3"/>
        <v>0</v>
      </c>
      <c r="I53" s="68">
        <f>I54+I55+I56+I57</f>
        <v>0</v>
      </c>
      <c r="J53" s="14">
        <f>J54+J55+J56+J57</f>
        <v>0</v>
      </c>
      <c r="K53" s="14"/>
      <c r="L53" s="14">
        <f>L54+L55+L56+L57</f>
        <v>0</v>
      </c>
      <c r="M53" s="14"/>
      <c r="N53" s="155">
        <f>N54+N55+N56+N57</f>
        <v>0</v>
      </c>
      <c r="O53" s="14"/>
      <c r="P53" s="155">
        <f>P54+P55+P56+P57</f>
        <v>0</v>
      </c>
      <c r="Q53" s="14">
        <f>Q54+Q55+Q56+Q57</f>
        <v>0</v>
      </c>
      <c r="R53" s="54">
        <f t="shared" si="4"/>
        <v>10467.299999999999</v>
      </c>
      <c r="U53" s="108"/>
    </row>
    <row r="54" spans="1:21" s="110" customFormat="1" ht="20.25">
      <c r="A54" s="180"/>
      <c r="B54" s="180"/>
      <c r="C54" s="109" t="s">
        <v>2</v>
      </c>
      <c r="D54" s="20">
        <v>0</v>
      </c>
      <c r="E54" s="79">
        <v>0</v>
      </c>
      <c r="F54" s="79">
        <v>0</v>
      </c>
      <c r="G54" s="91">
        <v>0</v>
      </c>
      <c r="H54" s="67">
        <f t="shared" si="3"/>
        <v>0</v>
      </c>
      <c r="I54" s="74">
        <v>0</v>
      </c>
      <c r="J54" s="7">
        <v>0</v>
      </c>
      <c r="K54" s="7"/>
      <c r="L54" s="7">
        <v>0</v>
      </c>
      <c r="M54" s="7"/>
      <c r="N54" s="148">
        <v>0</v>
      </c>
      <c r="O54" s="7"/>
      <c r="P54" s="148">
        <v>0</v>
      </c>
      <c r="Q54" s="7">
        <v>0</v>
      </c>
      <c r="R54" s="54">
        <f t="shared" si="4"/>
        <v>0</v>
      </c>
      <c r="U54" s="111"/>
    </row>
    <row r="55" spans="1:21" s="110" customFormat="1" ht="20.25">
      <c r="A55" s="180"/>
      <c r="B55" s="180"/>
      <c r="C55" s="109" t="s">
        <v>3</v>
      </c>
      <c r="D55" s="20">
        <v>0</v>
      </c>
      <c r="E55" s="79">
        <v>0</v>
      </c>
      <c r="F55" s="79">
        <v>0</v>
      </c>
      <c r="G55" s="91">
        <v>0</v>
      </c>
      <c r="H55" s="67">
        <f t="shared" si="3"/>
        <v>0</v>
      </c>
      <c r="I55" s="74">
        <v>0</v>
      </c>
      <c r="J55" s="7">
        <v>0</v>
      </c>
      <c r="K55" s="7"/>
      <c r="L55" s="7">
        <v>0</v>
      </c>
      <c r="M55" s="7"/>
      <c r="N55" s="148">
        <v>0</v>
      </c>
      <c r="O55" s="7"/>
      <c r="P55" s="148">
        <v>0</v>
      </c>
      <c r="Q55" s="7">
        <v>0</v>
      </c>
      <c r="R55" s="54">
        <f t="shared" si="4"/>
        <v>0</v>
      </c>
      <c r="U55" s="111"/>
    </row>
    <row r="56" spans="1:21" s="110" customFormat="1" ht="20.25">
      <c r="A56" s="180"/>
      <c r="B56" s="180"/>
      <c r="C56" s="109" t="s">
        <v>9</v>
      </c>
      <c r="D56" s="20">
        <v>10467.299999999999</v>
      </c>
      <c r="E56" s="11">
        <v>0</v>
      </c>
      <c r="F56" s="11">
        <v>0</v>
      </c>
      <c r="G56" s="73">
        <v>0</v>
      </c>
      <c r="H56" s="67">
        <f t="shared" si="3"/>
        <v>0</v>
      </c>
      <c r="I56" s="74">
        <v>0</v>
      </c>
      <c r="J56" s="112">
        <v>0</v>
      </c>
      <c r="K56" s="112"/>
      <c r="L56" s="15">
        <v>0</v>
      </c>
      <c r="M56" s="15"/>
      <c r="N56" s="156">
        <v>0</v>
      </c>
      <c r="O56" s="15"/>
      <c r="P56" s="156">
        <f>N56</f>
        <v>0</v>
      </c>
      <c r="Q56" s="15">
        <f>O56</f>
        <v>0</v>
      </c>
      <c r="R56" s="54">
        <f t="shared" si="4"/>
        <v>10467.299999999999</v>
      </c>
      <c r="U56" s="111"/>
    </row>
    <row r="57" spans="1:21" s="110" customFormat="1" ht="20.25">
      <c r="A57" s="180"/>
      <c r="B57" s="183"/>
      <c r="C57" s="113" t="s">
        <v>4</v>
      </c>
      <c r="D57" s="20">
        <v>0</v>
      </c>
      <c r="E57" s="79">
        <v>0</v>
      </c>
      <c r="F57" s="79">
        <v>0</v>
      </c>
      <c r="G57" s="91">
        <v>0</v>
      </c>
      <c r="H57" s="67">
        <f t="shared" si="3"/>
        <v>0</v>
      </c>
      <c r="I57" s="74">
        <v>0</v>
      </c>
      <c r="J57" s="7">
        <v>0</v>
      </c>
      <c r="K57" s="7"/>
      <c r="L57" s="7">
        <v>0</v>
      </c>
      <c r="M57" s="7"/>
      <c r="N57" s="148">
        <v>0</v>
      </c>
      <c r="O57" s="7"/>
      <c r="P57" s="148">
        <v>0</v>
      </c>
      <c r="Q57" s="7">
        <v>0</v>
      </c>
      <c r="R57" s="54">
        <f t="shared" si="4"/>
        <v>0</v>
      </c>
      <c r="U57" s="111"/>
    </row>
    <row r="58" spans="1:21" s="114" customFormat="1" ht="20.25">
      <c r="A58" s="179" t="s">
        <v>14</v>
      </c>
      <c r="B58" s="181" t="s">
        <v>26</v>
      </c>
      <c r="C58" s="104" t="s">
        <v>6</v>
      </c>
      <c r="D58" s="19">
        <f>D59+D60+D61+D62</f>
        <v>0</v>
      </c>
      <c r="E58" s="105">
        <f>E59+E60+E61+E62</f>
        <v>0</v>
      </c>
      <c r="F58" s="105">
        <f>F59+F60+F61+F62</f>
        <v>0</v>
      </c>
      <c r="G58" s="106">
        <f>G59+G60+G61+G62</f>
        <v>4207.83043</v>
      </c>
      <c r="H58" s="67">
        <f>G58-F58</f>
        <v>4207.83043</v>
      </c>
      <c r="I58" s="68">
        <v>0</v>
      </c>
      <c r="J58" s="14">
        <f>J59+J60+J61+J62</f>
        <v>0</v>
      </c>
      <c r="K58" s="14"/>
      <c r="L58" s="14">
        <f>L59+L60+L61+L62</f>
        <v>0</v>
      </c>
      <c r="M58" s="14"/>
      <c r="N58" s="155">
        <f>N59+N60+N61+N62</f>
        <v>0</v>
      </c>
      <c r="O58" s="14"/>
      <c r="P58" s="155">
        <f>P59+P60+P61+P62</f>
        <v>0</v>
      </c>
      <c r="Q58" s="14">
        <f>Q59+Q60+Q61+Q62</f>
        <v>0</v>
      </c>
      <c r="R58" s="54">
        <f t="shared" si="4"/>
        <v>4207.83043</v>
      </c>
      <c r="U58" s="115"/>
    </row>
    <row r="59" spans="1:21" s="116" customFormat="1" ht="20.25">
      <c r="A59" s="180"/>
      <c r="B59" s="181"/>
      <c r="C59" s="109" t="s">
        <v>2</v>
      </c>
      <c r="D59" s="20">
        <v>0</v>
      </c>
      <c r="E59" s="79">
        <v>0</v>
      </c>
      <c r="F59" s="79">
        <v>0</v>
      </c>
      <c r="G59" s="91">
        <v>0</v>
      </c>
      <c r="H59" s="67">
        <f>G59-F59</f>
        <v>0</v>
      </c>
      <c r="I59" s="74">
        <v>0</v>
      </c>
      <c r="J59" s="7">
        <v>0</v>
      </c>
      <c r="K59" s="7"/>
      <c r="L59" s="7">
        <v>0</v>
      </c>
      <c r="M59" s="7"/>
      <c r="N59" s="148">
        <v>0</v>
      </c>
      <c r="O59" s="7"/>
      <c r="P59" s="148">
        <v>0</v>
      </c>
      <c r="Q59" s="7">
        <v>0</v>
      </c>
      <c r="R59" s="54">
        <f t="shared" si="4"/>
        <v>0</v>
      </c>
      <c r="U59" s="117"/>
    </row>
    <row r="60" spans="1:21" s="116" customFormat="1" ht="20.25">
      <c r="A60" s="180"/>
      <c r="B60" s="181"/>
      <c r="C60" s="109" t="s">
        <v>3</v>
      </c>
      <c r="D60" s="20">
        <v>0</v>
      </c>
      <c r="E60" s="79">
        <v>0</v>
      </c>
      <c r="F60" s="79">
        <v>0</v>
      </c>
      <c r="G60" s="91">
        <v>3380.84834</v>
      </c>
      <c r="H60" s="67">
        <f>G60-F60</f>
        <v>3380.84834</v>
      </c>
      <c r="I60" s="74">
        <v>0</v>
      </c>
      <c r="J60" s="13">
        <v>0</v>
      </c>
      <c r="K60" s="13"/>
      <c r="L60" s="7">
        <v>0</v>
      </c>
      <c r="M60" s="7"/>
      <c r="N60" s="148">
        <v>0</v>
      </c>
      <c r="O60" s="7"/>
      <c r="P60" s="148">
        <v>0</v>
      </c>
      <c r="Q60" s="7">
        <v>0</v>
      </c>
      <c r="R60" s="54">
        <f t="shared" si="4"/>
        <v>3380.84834</v>
      </c>
      <c r="U60" s="117"/>
    </row>
    <row r="61" spans="1:21" s="116" customFormat="1" ht="20.25">
      <c r="A61" s="180"/>
      <c r="B61" s="181"/>
      <c r="C61" s="109" t="s">
        <v>9</v>
      </c>
      <c r="D61" s="20">
        <v>0</v>
      </c>
      <c r="E61" s="79"/>
      <c r="F61" s="79"/>
      <c r="G61" s="91">
        <v>826.98208999999997</v>
      </c>
      <c r="H61" s="67">
        <f>G61-F61</f>
        <v>826.98208999999997</v>
      </c>
      <c r="I61" s="74">
        <v>0</v>
      </c>
      <c r="J61" s="13">
        <v>0</v>
      </c>
      <c r="K61" s="13"/>
      <c r="L61" s="7">
        <v>0</v>
      </c>
      <c r="M61" s="7"/>
      <c r="N61" s="148">
        <v>0</v>
      </c>
      <c r="O61" s="7"/>
      <c r="P61" s="148">
        <v>0</v>
      </c>
      <c r="Q61" s="7">
        <v>0</v>
      </c>
      <c r="R61" s="54">
        <f t="shared" si="4"/>
        <v>826.98208999999997</v>
      </c>
      <c r="U61" s="117"/>
    </row>
    <row r="62" spans="1:21" s="119" customFormat="1" ht="102.75" customHeight="1">
      <c r="A62" s="180"/>
      <c r="B62" s="182"/>
      <c r="C62" s="118" t="s">
        <v>4</v>
      </c>
      <c r="D62" s="20">
        <v>0</v>
      </c>
      <c r="E62" s="79">
        <v>0</v>
      </c>
      <c r="F62" s="79">
        <v>0</v>
      </c>
      <c r="G62" s="91">
        <v>0</v>
      </c>
      <c r="H62" s="67">
        <f>G62-F62</f>
        <v>0</v>
      </c>
      <c r="I62" s="74">
        <v>0</v>
      </c>
      <c r="J62" s="7">
        <v>0</v>
      </c>
      <c r="K62" s="7"/>
      <c r="L62" s="7">
        <v>0</v>
      </c>
      <c r="M62" s="7"/>
      <c r="N62" s="148">
        <v>0</v>
      </c>
      <c r="O62" s="7"/>
      <c r="P62" s="148">
        <v>0</v>
      </c>
      <c r="Q62" s="7">
        <v>0</v>
      </c>
      <c r="R62" s="54">
        <f t="shared" si="4"/>
        <v>0</v>
      </c>
      <c r="U62" s="120"/>
    </row>
    <row r="63" spans="1:21" s="114" customFormat="1" ht="20.25">
      <c r="A63" s="179" t="s">
        <v>14</v>
      </c>
      <c r="B63" s="180" t="s">
        <v>22</v>
      </c>
      <c r="C63" s="104" t="s">
        <v>6</v>
      </c>
      <c r="D63" s="19">
        <f>D64+D65+D66+D67</f>
        <v>900</v>
      </c>
      <c r="E63" s="105">
        <f>E64+E65+E66+E67</f>
        <v>8347</v>
      </c>
      <c r="F63" s="105">
        <f>F64+F65+F66+F67</f>
        <v>8347</v>
      </c>
      <c r="G63" s="106">
        <f>G64+G65+G66+G67</f>
        <v>9136.2000000000007</v>
      </c>
      <c r="H63" s="67">
        <f t="shared" si="3"/>
        <v>789.20000000000073</v>
      </c>
      <c r="I63" s="68">
        <f>I64+I65+I66+I67</f>
        <v>4300</v>
      </c>
      <c r="J63" s="14">
        <f>J64+J65+J66+J67</f>
        <v>0</v>
      </c>
      <c r="K63" s="14"/>
      <c r="L63" s="14">
        <f>L64+L65+L66+L67</f>
        <v>0</v>
      </c>
      <c r="M63" s="14"/>
      <c r="N63" s="155">
        <f>N64+N65+N66+N67</f>
        <v>0</v>
      </c>
      <c r="O63" s="14"/>
      <c r="P63" s="155">
        <f>P64+P65+P66+P67</f>
        <v>0</v>
      </c>
      <c r="Q63" s="14">
        <f>Q64+Q65+Q66+Q67</f>
        <v>0</v>
      </c>
      <c r="R63" s="54">
        <f t="shared" si="4"/>
        <v>14336.2</v>
      </c>
      <c r="U63" s="115"/>
    </row>
    <row r="64" spans="1:21" s="116" customFormat="1" ht="20.25">
      <c r="A64" s="180"/>
      <c r="B64" s="180"/>
      <c r="C64" s="109" t="s">
        <v>2</v>
      </c>
      <c r="D64" s="20">
        <v>0</v>
      </c>
      <c r="E64" s="79">
        <v>0</v>
      </c>
      <c r="F64" s="79">
        <v>0</v>
      </c>
      <c r="G64" s="91">
        <v>0</v>
      </c>
      <c r="H64" s="67">
        <f t="shared" si="3"/>
        <v>0</v>
      </c>
      <c r="I64" s="74">
        <v>0</v>
      </c>
      <c r="J64" s="7">
        <v>0</v>
      </c>
      <c r="K64" s="7"/>
      <c r="L64" s="7">
        <v>0</v>
      </c>
      <c r="M64" s="7"/>
      <c r="N64" s="148">
        <v>0</v>
      </c>
      <c r="O64" s="7"/>
      <c r="P64" s="148">
        <v>0</v>
      </c>
      <c r="Q64" s="7">
        <v>0</v>
      </c>
      <c r="R64" s="54">
        <f t="shared" si="4"/>
        <v>0</v>
      </c>
      <c r="U64" s="117"/>
    </row>
    <row r="65" spans="1:21" s="116" customFormat="1" ht="20.25">
      <c r="A65" s="180"/>
      <c r="B65" s="180"/>
      <c r="C65" s="109" t="s">
        <v>3</v>
      </c>
      <c r="D65" s="20">
        <v>0</v>
      </c>
      <c r="E65" s="79">
        <v>0</v>
      </c>
      <c r="F65" s="79">
        <v>0</v>
      </c>
      <c r="G65" s="91">
        <v>0</v>
      </c>
      <c r="H65" s="67">
        <f t="shared" si="3"/>
        <v>0</v>
      </c>
      <c r="I65" s="74">
        <v>0</v>
      </c>
      <c r="J65" s="7">
        <v>0</v>
      </c>
      <c r="K65" s="7"/>
      <c r="L65" s="7">
        <v>0</v>
      </c>
      <c r="M65" s="7"/>
      <c r="N65" s="148">
        <v>0</v>
      </c>
      <c r="O65" s="7"/>
      <c r="P65" s="148">
        <v>0</v>
      </c>
      <c r="Q65" s="7">
        <v>0</v>
      </c>
      <c r="R65" s="54">
        <f t="shared" si="4"/>
        <v>0</v>
      </c>
      <c r="U65" s="117"/>
    </row>
    <row r="66" spans="1:21" s="116" customFormat="1" ht="20.25">
      <c r="A66" s="180"/>
      <c r="B66" s="180"/>
      <c r="C66" s="109" t="s">
        <v>9</v>
      </c>
      <c r="D66" s="20">
        <v>900</v>
      </c>
      <c r="E66" s="79">
        <v>8347</v>
      </c>
      <c r="F66" s="79">
        <v>8347</v>
      </c>
      <c r="G66" s="91">
        <v>9136.2000000000007</v>
      </c>
      <c r="H66" s="67">
        <f t="shared" si="3"/>
        <v>789.20000000000073</v>
      </c>
      <c r="I66" s="74">
        <v>4300</v>
      </c>
      <c r="J66" s="15">
        <v>0</v>
      </c>
      <c r="K66" s="15"/>
      <c r="L66" s="15">
        <v>0</v>
      </c>
      <c r="M66" s="15"/>
      <c r="N66" s="156">
        <v>0</v>
      </c>
      <c r="O66" s="15"/>
      <c r="P66" s="156">
        <f>N66</f>
        <v>0</v>
      </c>
      <c r="Q66" s="15">
        <f>O66</f>
        <v>0</v>
      </c>
      <c r="R66" s="54">
        <f t="shared" si="4"/>
        <v>14336.2</v>
      </c>
      <c r="U66" s="117"/>
    </row>
    <row r="67" spans="1:21" s="116" customFormat="1" ht="44.25" customHeight="1">
      <c r="A67" s="180"/>
      <c r="B67" s="183"/>
      <c r="C67" s="118" t="s">
        <v>4</v>
      </c>
      <c r="D67" s="20">
        <v>0</v>
      </c>
      <c r="E67" s="79">
        <v>0</v>
      </c>
      <c r="F67" s="79">
        <v>0</v>
      </c>
      <c r="G67" s="91">
        <v>0</v>
      </c>
      <c r="H67" s="67">
        <f t="shared" si="3"/>
        <v>0</v>
      </c>
      <c r="I67" s="74">
        <v>0</v>
      </c>
      <c r="J67" s="7">
        <v>0</v>
      </c>
      <c r="K67" s="7"/>
      <c r="L67" s="7">
        <v>0</v>
      </c>
      <c r="M67" s="7"/>
      <c r="N67" s="148">
        <v>0</v>
      </c>
      <c r="O67" s="7"/>
      <c r="P67" s="148">
        <v>0</v>
      </c>
      <c r="Q67" s="7">
        <v>0</v>
      </c>
      <c r="R67" s="54">
        <f t="shared" si="4"/>
        <v>0</v>
      </c>
      <c r="U67" s="117"/>
    </row>
    <row r="68" spans="1:21" s="70" customFormat="1" ht="20.25">
      <c r="A68" s="173" t="s">
        <v>14</v>
      </c>
      <c r="B68" s="176" t="s">
        <v>17</v>
      </c>
      <c r="C68" s="63" t="s">
        <v>6</v>
      </c>
      <c r="D68" s="19">
        <f>D69+D70+D71+D72</f>
        <v>18684.5</v>
      </c>
      <c r="E68" s="65">
        <f>E69+E70+E71+E72</f>
        <v>16720</v>
      </c>
      <c r="F68" s="65">
        <f>F69+F70+F71+F72</f>
        <v>19461.2</v>
      </c>
      <c r="G68" s="66">
        <f>G69+G70+G71+G72</f>
        <v>22196.121080000001</v>
      </c>
      <c r="H68" s="67">
        <f t="shared" si="3"/>
        <v>2734.9210800000001</v>
      </c>
      <c r="I68" s="68">
        <f>I69+I70+I71+I72</f>
        <v>23670.608580000004</v>
      </c>
      <c r="J68" s="69">
        <f>J69+J70+J71+J72</f>
        <v>25008.125500000002</v>
      </c>
      <c r="K68" s="18"/>
      <c r="L68" s="6">
        <f>L69+L70+L71+L72</f>
        <v>20769.699999999997</v>
      </c>
      <c r="M68" s="6"/>
      <c r="N68" s="147">
        <f>N69+N70+N71+N72</f>
        <v>21727.5</v>
      </c>
      <c r="O68" s="6"/>
      <c r="P68" s="147">
        <f>P69+P70+P71+P72</f>
        <v>17014.900000000001</v>
      </c>
      <c r="Q68" s="6">
        <f>Q69+Q70+Q71+Q72</f>
        <v>17274.900000000001</v>
      </c>
      <c r="R68" s="54">
        <f t="shared" si="4"/>
        <v>166346.35515999998</v>
      </c>
      <c r="U68" s="71"/>
    </row>
    <row r="69" spans="1:21" ht="20.25">
      <c r="A69" s="174"/>
      <c r="B69" s="177"/>
      <c r="C69" s="72" t="s">
        <v>2</v>
      </c>
      <c r="D69" s="20">
        <v>0</v>
      </c>
      <c r="E69" s="11">
        <v>0</v>
      </c>
      <c r="F69" s="11">
        <v>0</v>
      </c>
      <c r="G69" s="73">
        <v>0</v>
      </c>
      <c r="H69" s="67">
        <f t="shared" si="3"/>
        <v>0</v>
      </c>
      <c r="I69" s="74">
        <v>0</v>
      </c>
      <c r="J69" s="13">
        <v>0</v>
      </c>
      <c r="K69" s="13"/>
      <c r="L69" s="7">
        <v>0</v>
      </c>
      <c r="M69" s="7"/>
      <c r="N69" s="148">
        <v>0</v>
      </c>
      <c r="O69" s="7"/>
      <c r="P69" s="148">
        <v>0</v>
      </c>
      <c r="Q69" s="7">
        <v>0</v>
      </c>
      <c r="R69" s="54">
        <f t="shared" si="4"/>
        <v>0</v>
      </c>
      <c r="U69" s="76"/>
    </row>
    <row r="70" spans="1:21" ht="20.25">
      <c r="A70" s="174"/>
      <c r="B70" s="177"/>
      <c r="C70" s="72" t="s">
        <v>3</v>
      </c>
      <c r="D70" s="20">
        <v>629.1</v>
      </c>
      <c r="E70" s="11">
        <v>0</v>
      </c>
      <c r="F70" s="11">
        <v>0</v>
      </c>
      <c r="G70" s="73">
        <v>0</v>
      </c>
      <c r="H70" s="67">
        <f t="shared" si="3"/>
        <v>0</v>
      </c>
      <c r="I70" s="121">
        <f>(487521.54+963478.46)/1000</f>
        <v>1451</v>
      </c>
      <c r="J70" s="122">
        <v>1156.0164</v>
      </c>
      <c r="K70" s="112"/>
      <c r="L70" s="16">
        <v>3676.6</v>
      </c>
      <c r="M70" s="15">
        <f>1570.6</f>
        <v>1570.6</v>
      </c>
      <c r="N70" s="162">
        <v>2924.1</v>
      </c>
      <c r="O70" s="163">
        <f>1570.6</f>
        <v>1570.6</v>
      </c>
      <c r="P70" s="162">
        <v>19</v>
      </c>
      <c r="Q70" s="15">
        <v>19</v>
      </c>
      <c r="R70" s="54">
        <f t="shared" si="4"/>
        <v>9874.8163999999997</v>
      </c>
      <c r="S70" s="37">
        <f>90.7+445</f>
        <v>535.70000000000005</v>
      </c>
      <c r="U70" s="76"/>
    </row>
    <row r="71" spans="1:21" ht="20.25">
      <c r="A71" s="174"/>
      <c r="B71" s="177"/>
      <c r="C71" s="72" t="s">
        <v>9</v>
      </c>
      <c r="D71" s="20">
        <v>18055.400000000001</v>
      </c>
      <c r="E71" s="11">
        <f>16622+98</f>
        <v>16720</v>
      </c>
      <c r="F71" s="79">
        <f>19363.2+98</f>
        <v>19461.2</v>
      </c>
      <c r="G71" s="91">
        <v>22196.121080000001</v>
      </c>
      <c r="H71" s="67">
        <f t="shared" si="3"/>
        <v>2734.9210800000001</v>
      </c>
      <c r="I71" s="121">
        <f>(11339594.89+49716.46+63800+2812045.08+7863051.58+27746+6851.73+23268.16+33534.68)/1000</f>
        <v>22219.608580000004</v>
      </c>
      <c r="J71" s="75">
        <v>23852.109100000001</v>
      </c>
      <c r="K71" s="13"/>
      <c r="L71" s="17">
        <f>17015.1+78</f>
        <v>17093.099999999999</v>
      </c>
      <c r="M71" s="17"/>
      <c r="N71" s="162">
        <v>18803.400000000001</v>
      </c>
      <c r="O71" s="163"/>
      <c r="P71" s="162">
        <f>16994.9+1</f>
        <v>16995.900000000001</v>
      </c>
      <c r="Q71" s="17">
        <f>17254.9+1</f>
        <v>17255.900000000001</v>
      </c>
      <c r="R71" s="54">
        <f t="shared" si="4"/>
        <v>156471.53876</v>
      </c>
      <c r="S71" s="37">
        <f>15453.5</f>
        <v>15453.5</v>
      </c>
      <c r="U71" s="76"/>
    </row>
    <row r="72" spans="1:21" ht="40.5">
      <c r="A72" s="174"/>
      <c r="B72" s="178"/>
      <c r="C72" s="72" t="s">
        <v>4</v>
      </c>
      <c r="D72" s="20">
        <v>0</v>
      </c>
      <c r="E72" s="11"/>
      <c r="F72" s="11"/>
      <c r="G72" s="73">
        <v>0</v>
      </c>
      <c r="H72" s="67">
        <f t="shared" si="3"/>
        <v>0</v>
      </c>
      <c r="I72" s="74">
        <v>0</v>
      </c>
      <c r="J72" s="13"/>
      <c r="K72" s="13"/>
      <c r="L72" s="7">
        <v>0</v>
      </c>
      <c r="M72" s="7"/>
      <c r="N72" s="162">
        <v>0</v>
      </c>
      <c r="O72" s="163"/>
      <c r="P72" s="162">
        <v>0</v>
      </c>
      <c r="Q72" s="7">
        <v>0</v>
      </c>
      <c r="R72" s="54">
        <f t="shared" si="4"/>
        <v>0</v>
      </c>
      <c r="U72" s="76"/>
    </row>
    <row r="73" spans="1:21" s="70" customFormat="1" ht="20.25">
      <c r="A73" s="173" t="s">
        <v>14</v>
      </c>
      <c r="B73" s="176" t="s">
        <v>18</v>
      </c>
      <c r="C73" s="63" t="s">
        <v>6</v>
      </c>
      <c r="D73" s="19">
        <f>D74+D75+D76+D77</f>
        <v>13635.4</v>
      </c>
      <c r="E73" s="65">
        <f>E74+E75+E76+E77</f>
        <v>15287</v>
      </c>
      <c r="F73" s="65">
        <f>F74+F75+F76+F77</f>
        <v>12914.6</v>
      </c>
      <c r="G73" s="66">
        <f>G74+G75+G76+G77</f>
        <v>13978.31712</v>
      </c>
      <c r="H73" s="67">
        <f t="shared" si="3"/>
        <v>1063.7171199999993</v>
      </c>
      <c r="I73" s="68">
        <f>I74+I75+I76+I77</f>
        <v>14607.68079</v>
      </c>
      <c r="J73" s="69">
        <f>J74+J75+J76+J77</f>
        <v>13794.177</v>
      </c>
      <c r="K73" s="18"/>
      <c r="L73" s="18">
        <f>L74+L75+L76+L77</f>
        <v>15094.4</v>
      </c>
      <c r="M73" s="18"/>
      <c r="N73" s="164">
        <f>N74+N75+N76+N77</f>
        <v>14923.3</v>
      </c>
      <c r="O73" s="165"/>
      <c r="P73" s="166">
        <f>P74+P75+P76+P77</f>
        <v>12854.900000000001</v>
      </c>
      <c r="Q73" s="6">
        <f>Q74+Q75+Q76+Q77</f>
        <v>12854.900000000001</v>
      </c>
      <c r="R73" s="54">
        <f t="shared" si="4"/>
        <v>111743.07491</v>
      </c>
      <c r="U73" s="71"/>
    </row>
    <row r="74" spans="1:21" ht="22.5" customHeight="1">
      <c r="A74" s="174"/>
      <c r="B74" s="177"/>
      <c r="C74" s="72" t="s">
        <v>2</v>
      </c>
      <c r="D74" s="20">
        <v>0</v>
      </c>
      <c r="E74" s="11">
        <v>0</v>
      </c>
      <c r="F74" s="11">
        <v>0</v>
      </c>
      <c r="G74" s="73">
        <v>0</v>
      </c>
      <c r="H74" s="67">
        <f t="shared" si="3"/>
        <v>0</v>
      </c>
      <c r="I74" s="74">
        <v>0</v>
      </c>
      <c r="J74" s="13">
        <v>0</v>
      </c>
      <c r="K74" s="13"/>
      <c r="L74" s="13">
        <v>0</v>
      </c>
      <c r="M74" s="13"/>
      <c r="N74" s="167">
        <v>0</v>
      </c>
      <c r="O74" s="168"/>
      <c r="P74" s="162">
        <v>0</v>
      </c>
      <c r="Q74" s="7">
        <v>0</v>
      </c>
      <c r="R74" s="54">
        <f t="shared" si="4"/>
        <v>0</v>
      </c>
      <c r="U74" s="76"/>
    </row>
    <row r="75" spans="1:21" ht="20.25">
      <c r="A75" s="174"/>
      <c r="B75" s="177"/>
      <c r="C75" s="72" t="s">
        <v>3</v>
      </c>
      <c r="D75" s="20">
        <v>222.6</v>
      </c>
      <c r="E75" s="11">
        <v>3129.5</v>
      </c>
      <c r="F75" s="11">
        <v>248</v>
      </c>
      <c r="G75" s="73">
        <v>253.15391</v>
      </c>
      <c r="H75" s="67">
        <f t="shared" si="3"/>
        <v>5.1539099999999962</v>
      </c>
      <c r="I75" s="77">
        <v>905.9</v>
      </c>
      <c r="J75" s="75">
        <v>260.53500000000003</v>
      </c>
      <c r="K75" s="13"/>
      <c r="L75" s="13">
        <v>2167.6</v>
      </c>
      <c r="M75" s="13"/>
      <c r="N75" s="167">
        <v>1667.9</v>
      </c>
      <c r="O75" s="168">
        <v>370.3</v>
      </c>
      <c r="P75" s="167">
        <v>71.7</v>
      </c>
      <c r="Q75" s="13">
        <v>71.7</v>
      </c>
      <c r="R75" s="54">
        <f t="shared" si="4"/>
        <v>5621.0889100000004</v>
      </c>
      <c r="U75" s="76"/>
    </row>
    <row r="76" spans="1:21" ht="20.25">
      <c r="A76" s="174"/>
      <c r="B76" s="177"/>
      <c r="C76" s="72" t="s">
        <v>9</v>
      </c>
      <c r="D76" s="20">
        <v>13412.8</v>
      </c>
      <c r="E76" s="11">
        <v>12157.5</v>
      </c>
      <c r="F76" s="11">
        <v>12666.6</v>
      </c>
      <c r="G76" s="73">
        <v>13725.163210000001</v>
      </c>
      <c r="H76" s="67">
        <f t="shared" si="3"/>
        <v>1058.5632100000003</v>
      </c>
      <c r="I76" s="77">
        <v>13701.780790000001</v>
      </c>
      <c r="J76" s="75">
        <v>13533.642</v>
      </c>
      <c r="K76" s="13"/>
      <c r="L76" s="7">
        <v>12926.8</v>
      </c>
      <c r="M76" s="7"/>
      <c r="N76" s="162">
        <v>13255.4</v>
      </c>
      <c r="O76" s="163"/>
      <c r="P76" s="162">
        <v>12783.2</v>
      </c>
      <c r="Q76" s="7">
        <v>12783.2</v>
      </c>
      <c r="R76" s="54">
        <f t="shared" si="4"/>
        <v>106121.98599999999</v>
      </c>
      <c r="U76" s="76"/>
    </row>
    <row r="77" spans="1:21" ht="40.5">
      <c r="A77" s="175"/>
      <c r="B77" s="178"/>
      <c r="C77" s="72" t="s">
        <v>4</v>
      </c>
      <c r="D77" s="20">
        <v>0</v>
      </c>
      <c r="E77" s="11">
        <v>0</v>
      </c>
      <c r="F77" s="11">
        <v>0</v>
      </c>
      <c r="G77" s="73">
        <v>0</v>
      </c>
      <c r="H77" s="67">
        <f t="shared" si="3"/>
        <v>0</v>
      </c>
      <c r="I77" s="74">
        <v>0</v>
      </c>
      <c r="J77" s="13"/>
      <c r="K77" s="13"/>
      <c r="L77" s="7">
        <v>0</v>
      </c>
      <c r="M77" s="7"/>
      <c r="N77" s="162">
        <v>0</v>
      </c>
      <c r="O77" s="163"/>
      <c r="P77" s="162">
        <v>0</v>
      </c>
      <c r="Q77" s="7">
        <v>0</v>
      </c>
      <c r="R77" s="54">
        <f t="shared" si="4"/>
        <v>0</v>
      </c>
      <c r="U77" s="76"/>
    </row>
    <row r="78" spans="1:21" s="70" customFormat="1" ht="20.25">
      <c r="A78" s="173" t="s">
        <v>14</v>
      </c>
      <c r="B78" s="176" t="s">
        <v>28</v>
      </c>
      <c r="C78" s="63" t="s">
        <v>6</v>
      </c>
      <c r="D78" s="19">
        <f>D79+D80+D81+D82</f>
        <v>0</v>
      </c>
      <c r="E78" s="65">
        <f>E79+E80+E81+E82</f>
        <v>15287</v>
      </c>
      <c r="F78" s="65">
        <f>F79+F80+F81+F82</f>
        <v>12914.6</v>
      </c>
      <c r="G78" s="66">
        <f>G79+G80+G81+G82</f>
        <v>0</v>
      </c>
      <c r="H78" s="67">
        <f t="shared" si="3"/>
        <v>-12914.6</v>
      </c>
      <c r="I78" s="68">
        <f>I79+I80+I81+I82</f>
        <v>32952.736259999998</v>
      </c>
      <c r="J78" s="69">
        <f>J79+J80+J81+J82</f>
        <v>30932.899000000001</v>
      </c>
      <c r="K78" s="18"/>
      <c r="L78" s="6">
        <f>L79+L80+L81+L82</f>
        <v>43454.400000000001</v>
      </c>
      <c r="M78" s="6"/>
      <c r="N78" s="166">
        <f>N79+N80+N81+N82</f>
        <v>0</v>
      </c>
      <c r="O78" s="169"/>
      <c r="P78" s="166">
        <f>P79+P80+P81+P82</f>
        <v>0</v>
      </c>
      <c r="Q78" s="6">
        <f>Q79+Q80+Q81+Q82</f>
        <v>0</v>
      </c>
      <c r="R78" s="54">
        <f t="shared" si="4"/>
        <v>107340.03526</v>
      </c>
      <c r="U78" s="71"/>
    </row>
    <row r="79" spans="1:21" ht="21.75" customHeight="1">
      <c r="A79" s="174"/>
      <c r="B79" s="177"/>
      <c r="C79" s="72" t="s">
        <v>2</v>
      </c>
      <c r="D79" s="11">
        <v>0</v>
      </c>
      <c r="E79" s="11">
        <v>0</v>
      </c>
      <c r="F79" s="11">
        <v>0</v>
      </c>
      <c r="G79" s="73">
        <v>0</v>
      </c>
      <c r="H79" s="67">
        <f t="shared" si="3"/>
        <v>0</v>
      </c>
      <c r="I79" s="74">
        <v>0</v>
      </c>
      <c r="J79" s="11">
        <v>0</v>
      </c>
      <c r="K79" s="11"/>
      <c r="L79" s="11">
        <v>0</v>
      </c>
      <c r="M79" s="11"/>
      <c r="N79" s="167">
        <v>0</v>
      </c>
      <c r="O79" s="168"/>
      <c r="P79" s="167">
        <v>0</v>
      </c>
      <c r="Q79" s="11">
        <v>0</v>
      </c>
      <c r="R79" s="54">
        <f t="shared" si="4"/>
        <v>0</v>
      </c>
      <c r="U79" s="76"/>
    </row>
    <row r="80" spans="1:21" ht="20.25">
      <c r="A80" s="174"/>
      <c r="B80" s="177"/>
      <c r="C80" s="72" t="s">
        <v>3</v>
      </c>
      <c r="D80" s="11">
        <v>0</v>
      </c>
      <c r="E80" s="11">
        <v>3129.5</v>
      </c>
      <c r="F80" s="11">
        <v>248</v>
      </c>
      <c r="G80" s="73">
        <v>0</v>
      </c>
      <c r="H80" s="67">
        <f t="shared" si="3"/>
        <v>-248</v>
      </c>
      <c r="I80" s="123">
        <v>0</v>
      </c>
      <c r="J80" s="11">
        <v>0</v>
      </c>
      <c r="K80" s="11"/>
      <c r="L80" s="11">
        <v>0</v>
      </c>
      <c r="M80" s="11"/>
      <c r="N80" s="167">
        <v>0</v>
      </c>
      <c r="O80" s="168"/>
      <c r="P80" s="167">
        <v>0</v>
      </c>
      <c r="Q80" s="11">
        <v>0</v>
      </c>
      <c r="R80" s="54">
        <f t="shared" si="4"/>
        <v>0</v>
      </c>
      <c r="U80" s="76"/>
    </row>
    <row r="81" spans="1:21" ht="20.25">
      <c r="A81" s="174"/>
      <c r="B81" s="177"/>
      <c r="C81" s="72" t="s">
        <v>9</v>
      </c>
      <c r="D81" s="11">
        <v>0</v>
      </c>
      <c r="E81" s="11">
        <v>12157.5</v>
      </c>
      <c r="F81" s="11">
        <v>12666.6</v>
      </c>
      <c r="G81" s="73">
        <v>0</v>
      </c>
      <c r="H81" s="67">
        <f t="shared" si="3"/>
        <v>-12666.6</v>
      </c>
      <c r="I81" s="101">
        <v>32952.736259999998</v>
      </c>
      <c r="J81" s="102">
        <v>30932.899000000001</v>
      </c>
      <c r="K81" s="11"/>
      <c r="L81" s="11">
        <v>43454.400000000001</v>
      </c>
      <c r="M81" s="11"/>
      <c r="N81" s="167">
        <v>0</v>
      </c>
      <c r="O81" s="168"/>
      <c r="P81" s="167">
        <v>0</v>
      </c>
      <c r="Q81" s="11">
        <v>0</v>
      </c>
      <c r="R81" s="54">
        <f t="shared" si="4"/>
        <v>107340.03526</v>
      </c>
      <c r="U81" s="76"/>
    </row>
    <row r="82" spans="1:21" ht="40.5">
      <c r="A82" s="175"/>
      <c r="B82" s="178"/>
      <c r="C82" s="72" t="s">
        <v>4</v>
      </c>
      <c r="D82" s="11">
        <v>0</v>
      </c>
      <c r="E82" s="11">
        <v>0</v>
      </c>
      <c r="F82" s="11">
        <v>0</v>
      </c>
      <c r="G82" s="73">
        <v>0</v>
      </c>
      <c r="H82" s="67">
        <f t="shared" si="3"/>
        <v>0</v>
      </c>
      <c r="I82" s="74">
        <v>0</v>
      </c>
      <c r="J82" s="11">
        <v>0</v>
      </c>
      <c r="K82" s="11"/>
      <c r="L82" s="11">
        <v>0</v>
      </c>
      <c r="M82" s="11"/>
      <c r="N82" s="167">
        <v>0</v>
      </c>
      <c r="O82" s="168"/>
      <c r="P82" s="167">
        <v>0</v>
      </c>
      <c r="Q82" s="11">
        <v>0</v>
      </c>
      <c r="R82" s="54">
        <f t="shared" si="4"/>
        <v>0</v>
      </c>
      <c r="U82" s="76"/>
    </row>
    <row r="83" spans="1:21" s="70" customFormat="1" ht="20.25" hidden="1">
      <c r="A83" s="173" t="s">
        <v>14</v>
      </c>
      <c r="B83" s="176" t="s">
        <v>29</v>
      </c>
      <c r="C83" s="63" t="s">
        <v>6</v>
      </c>
      <c r="D83" s="19">
        <f>D84+D85+D86+D87</f>
        <v>0</v>
      </c>
      <c r="E83" s="65">
        <f>E84+E85+E86+E87</f>
        <v>15287</v>
      </c>
      <c r="F83" s="65">
        <f>F84+F85+F86+F87</f>
        <v>12914.6</v>
      </c>
      <c r="G83" s="66">
        <f>G84+G85+G86+G87</f>
        <v>0</v>
      </c>
      <c r="H83" s="67">
        <f t="shared" si="3"/>
        <v>-12914.6</v>
      </c>
      <c r="I83" s="18">
        <f>I84+I85+I86+I87</f>
        <v>0</v>
      </c>
      <c r="J83" s="18">
        <f>J84+J85+J86+J87</f>
        <v>0</v>
      </c>
      <c r="K83" s="18"/>
      <c r="L83" s="6">
        <f>L84+L85+L86+L87</f>
        <v>0</v>
      </c>
      <c r="M83" s="6"/>
      <c r="N83" s="166">
        <f>N84+N85+N86+N87</f>
        <v>0</v>
      </c>
      <c r="O83" s="169"/>
      <c r="P83" s="166">
        <f>P84+P85+P86+P87</f>
        <v>0</v>
      </c>
      <c r="Q83" s="6">
        <f>Q84+Q85+Q86+Q87</f>
        <v>0</v>
      </c>
      <c r="R83" s="54">
        <f t="shared" ref="R83:R92" si="5">D83+G83+I83+J83+L83+N83+P83+Q83</f>
        <v>0</v>
      </c>
      <c r="U83" s="71"/>
    </row>
    <row r="84" spans="1:21" ht="20.25" hidden="1">
      <c r="A84" s="174"/>
      <c r="B84" s="177"/>
      <c r="C84" s="72" t="s">
        <v>2</v>
      </c>
      <c r="D84" s="11">
        <v>0</v>
      </c>
      <c r="E84" s="11">
        <v>0</v>
      </c>
      <c r="F84" s="11">
        <v>0</v>
      </c>
      <c r="G84" s="73">
        <v>0</v>
      </c>
      <c r="H84" s="67">
        <f t="shared" si="3"/>
        <v>0</v>
      </c>
      <c r="I84" s="13">
        <v>0</v>
      </c>
      <c r="J84" s="11">
        <v>0</v>
      </c>
      <c r="K84" s="11"/>
      <c r="L84" s="11">
        <v>0</v>
      </c>
      <c r="M84" s="11"/>
      <c r="N84" s="167">
        <v>0</v>
      </c>
      <c r="O84" s="168"/>
      <c r="P84" s="167">
        <v>0</v>
      </c>
      <c r="Q84" s="11">
        <v>0</v>
      </c>
      <c r="R84" s="54">
        <f t="shared" si="5"/>
        <v>0</v>
      </c>
      <c r="U84" s="76"/>
    </row>
    <row r="85" spans="1:21" ht="20.25" hidden="1">
      <c r="A85" s="174"/>
      <c r="B85" s="177"/>
      <c r="C85" s="72" t="s">
        <v>3</v>
      </c>
      <c r="D85" s="11">
        <v>0</v>
      </c>
      <c r="E85" s="11">
        <v>3129.5</v>
      </c>
      <c r="F85" s="11">
        <v>248</v>
      </c>
      <c r="G85" s="73">
        <v>0</v>
      </c>
      <c r="H85" s="67">
        <f t="shared" si="3"/>
        <v>-248</v>
      </c>
      <c r="I85" s="11"/>
      <c r="J85" s="11">
        <v>0</v>
      </c>
      <c r="K85" s="11"/>
      <c r="L85" s="11">
        <v>0</v>
      </c>
      <c r="M85" s="11"/>
      <c r="N85" s="167">
        <v>0</v>
      </c>
      <c r="O85" s="168"/>
      <c r="P85" s="167">
        <v>0</v>
      </c>
      <c r="Q85" s="11">
        <v>0</v>
      </c>
      <c r="R85" s="54">
        <f t="shared" si="5"/>
        <v>0</v>
      </c>
      <c r="U85" s="76"/>
    </row>
    <row r="86" spans="1:21" ht="20.25" hidden="1">
      <c r="A86" s="174"/>
      <c r="B86" s="177"/>
      <c r="C86" s="72" t="s">
        <v>9</v>
      </c>
      <c r="D86" s="11">
        <v>0</v>
      </c>
      <c r="E86" s="11">
        <v>12157.5</v>
      </c>
      <c r="F86" s="11">
        <v>12666.6</v>
      </c>
      <c r="G86" s="73">
        <v>0</v>
      </c>
      <c r="H86" s="67">
        <f t="shared" si="3"/>
        <v>-12666.6</v>
      </c>
      <c r="I86" s="11">
        <v>0</v>
      </c>
      <c r="J86" s="11">
        <v>0</v>
      </c>
      <c r="K86" s="11"/>
      <c r="L86" s="11">
        <v>0</v>
      </c>
      <c r="M86" s="11"/>
      <c r="N86" s="167">
        <v>0</v>
      </c>
      <c r="O86" s="168"/>
      <c r="P86" s="167">
        <v>0</v>
      </c>
      <c r="Q86" s="11">
        <v>0</v>
      </c>
      <c r="R86" s="54">
        <f t="shared" si="5"/>
        <v>0</v>
      </c>
      <c r="U86" s="76"/>
    </row>
    <row r="87" spans="1:21" ht="40.5" hidden="1">
      <c r="A87" s="175"/>
      <c r="B87" s="178"/>
      <c r="C87" s="72" t="s">
        <v>4</v>
      </c>
      <c r="D87" s="11">
        <v>0</v>
      </c>
      <c r="E87" s="11">
        <v>0</v>
      </c>
      <c r="F87" s="11">
        <v>0</v>
      </c>
      <c r="G87" s="73">
        <v>0</v>
      </c>
      <c r="H87" s="67">
        <f>G87-F87</f>
        <v>0</v>
      </c>
      <c r="I87" s="13">
        <v>0</v>
      </c>
      <c r="J87" s="11">
        <v>0</v>
      </c>
      <c r="K87" s="11"/>
      <c r="L87" s="11">
        <v>0</v>
      </c>
      <c r="M87" s="11"/>
      <c r="N87" s="167">
        <v>0</v>
      </c>
      <c r="O87" s="168"/>
      <c r="P87" s="167">
        <v>0</v>
      </c>
      <c r="Q87" s="11">
        <v>0</v>
      </c>
      <c r="R87" s="54">
        <f t="shared" si="5"/>
        <v>0</v>
      </c>
      <c r="U87" s="76"/>
    </row>
    <row r="88" spans="1:21" s="70" customFormat="1" ht="33.75" customHeight="1">
      <c r="A88" s="82" t="s">
        <v>14</v>
      </c>
      <c r="B88" s="173" t="s">
        <v>36</v>
      </c>
      <c r="C88" s="63" t="s">
        <v>6</v>
      </c>
      <c r="D88" s="19">
        <f>D89+D90+D91+D92</f>
        <v>0</v>
      </c>
      <c r="E88" s="83">
        <f>E89+E90+E91+E92</f>
        <v>0</v>
      </c>
      <c r="F88" s="83">
        <f>F89+F90+F91+F92</f>
        <v>0</v>
      </c>
      <c r="G88" s="19">
        <f t="shared" ref="G88:P88" si="6">G89+G90+G91+G92</f>
        <v>0</v>
      </c>
      <c r="H88" s="19">
        <f t="shared" si="6"/>
        <v>0</v>
      </c>
      <c r="I88" s="19">
        <f t="shared" si="6"/>
        <v>0</v>
      </c>
      <c r="J88" s="19">
        <f t="shared" si="6"/>
        <v>0</v>
      </c>
      <c r="K88" s="19">
        <f t="shared" si="6"/>
        <v>0</v>
      </c>
      <c r="L88" s="19">
        <f t="shared" si="6"/>
        <v>1030.5999999999999</v>
      </c>
      <c r="M88" s="19">
        <f t="shared" si="6"/>
        <v>0</v>
      </c>
      <c r="N88" s="166">
        <f t="shared" si="6"/>
        <v>839.2</v>
      </c>
      <c r="O88" s="169">
        <f t="shared" si="6"/>
        <v>0</v>
      </c>
      <c r="P88" s="166">
        <f t="shared" si="6"/>
        <v>0</v>
      </c>
      <c r="Q88" s="19">
        <f>Q89+Q90+Q91+Q92</f>
        <v>0</v>
      </c>
      <c r="R88" s="54">
        <f t="shared" si="5"/>
        <v>1869.8</v>
      </c>
      <c r="S88" s="85">
        <f>D88+D108</f>
        <v>0</v>
      </c>
      <c r="T88" s="70">
        <f>111152.5+162-72</f>
        <v>111242.5</v>
      </c>
      <c r="U88" s="86"/>
    </row>
    <row r="89" spans="1:21" ht="33.75" customHeight="1">
      <c r="A89" s="136"/>
      <c r="B89" s="174"/>
      <c r="C89" s="72" t="s">
        <v>2</v>
      </c>
      <c r="D89" s="20">
        <v>0</v>
      </c>
      <c r="E89" s="87"/>
      <c r="F89" s="87"/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162">
        <v>0</v>
      </c>
      <c r="O89" s="163">
        <v>0</v>
      </c>
      <c r="P89" s="162">
        <v>0</v>
      </c>
      <c r="Q89" s="20">
        <v>0</v>
      </c>
      <c r="R89" s="54">
        <f t="shared" si="5"/>
        <v>0</v>
      </c>
      <c r="S89" s="124">
        <f>145098.6-22936+2792.8</f>
        <v>124955.40000000001</v>
      </c>
      <c r="T89" s="90">
        <f>J88-S89</f>
        <v>-124955.40000000001</v>
      </c>
      <c r="U89" s="76"/>
    </row>
    <row r="90" spans="1:21" ht="33.75" customHeight="1">
      <c r="A90" s="136"/>
      <c r="B90" s="174"/>
      <c r="C90" s="72" t="s">
        <v>3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978.9</v>
      </c>
      <c r="M90" s="20">
        <v>0</v>
      </c>
      <c r="N90" s="162">
        <v>797.2</v>
      </c>
      <c r="O90" s="163">
        <v>0</v>
      </c>
      <c r="P90" s="162">
        <v>0</v>
      </c>
      <c r="Q90" s="20">
        <v>0</v>
      </c>
      <c r="R90" s="54">
        <f t="shared" si="5"/>
        <v>1776.1</v>
      </c>
      <c r="S90" s="37">
        <f>1323+809.6+74085</f>
        <v>76217.600000000006</v>
      </c>
      <c r="T90" s="10"/>
      <c r="U90" s="76"/>
    </row>
    <row r="91" spans="1:21" ht="33.75" customHeight="1">
      <c r="A91" s="136"/>
      <c r="B91" s="174"/>
      <c r="C91" s="72" t="s">
        <v>9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51.7</v>
      </c>
      <c r="M91" s="20">
        <v>0</v>
      </c>
      <c r="N91" s="157">
        <v>42</v>
      </c>
      <c r="O91" s="20">
        <v>0</v>
      </c>
      <c r="P91" s="157">
        <v>0</v>
      </c>
      <c r="Q91" s="20">
        <v>0</v>
      </c>
      <c r="R91" s="54">
        <f t="shared" si="5"/>
        <v>93.7</v>
      </c>
      <c r="S91" s="37">
        <f>17902+971.7</f>
        <v>18873.7</v>
      </c>
      <c r="T91" s="9"/>
      <c r="U91" s="76"/>
    </row>
    <row r="92" spans="1:21" ht="36" customHeight="1">
      <c r="A92" s="137"/>
      <c r="B92" s="175"/>
      <c r="C92" s="72" t="s">
        <v>4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157">
        <v>0</v>
      </c>
      <c r="O92" s="20">
        <v>0</v>
      </c>
      <c r="P92" s="157">
        <v>0</v>
      </c>
      <c r="Q92" s="20">
        <v>0</v>
      </c>
      <c r="R92" s="54">
        <f t="shared" si="5"/>
        <v>0</v>
      </c>
      <c r="U92" s="76"/>
    </row>
  </sheetData>
  <mergeCells count="33">
    <mergeCell ref="B38:B42"/>
    <mergeCell ref="A28:A32"/>
    <mergeCell ref="B33:B37"/>
    <mergeCell ref="A9:H9"/>
    <mergeCell ref="A11:A12"/>
    <mergeCell ref="B11:B12"/>
    <mergeCell ref="C11:C12"/>
    <mergeCell ref="A13:A17"/>
    <mergeCell ref="B13:B17"/>
    <mergeCell ref="A18:A22"/>
    <mergeCell ref="B18:B22"/>
    <mergeCell ref="A23:A27"/>
    <mergeCell ref="B23:B27"/>
    <mergeCell ref="B28:B32"/>
    <mergeCell ref="A43:A47"/>
    <mergeCell ref="B43:B47"/>
    <mergeCell ref="A48:A52"/>
    <mergeCell ref="B48:B52"/>
    <mergeCell ref="A53:A57"/>
    <mergeCell ref="B53:B57"/>
    <mergeCell ref="A58:A62"/>
    <mergeCell ref="B58:B62"/>
    <mergeCell ref="A63:A67"/>
    <mergeCell ref="B63:B67"/>
    <mergeCell ref="A68:A72"/>
    <mergeCell ref="B68:B72"/>
    <mergeCell ref="B88:B92"/>
    <mergeCell ref="A73:A77"/>
    <mergeCell ref="B73:B77"/>
    <mergeCell ref="A78:A82"/>
    <mergeCell ref="B78:B82"/>
    <mergeCell ref="A83:A87"/>
    <mergeCell ref="B83:B87"/>
  </mergeCells>
  <pageMargins left="0" right="0" top="0.78740157480314965" bottom="0.39370078740157483" header="0.31496062992125984" footer="0.31496062992125984"/>
  <pageSetup paperSize="9" scale="45" fitToHeight="2" orientation="landscape" r:id="rId1"/>
  <rowBreaks count="1" manualBreakCount="1">
    <brk id="52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V86"/>
  <sheetViews>
    <sheetView view="pageBreakPreview" topLeftCell="B1" zoomScale="60" zoomScaleNormal="70" workbookViewId="0">
      <selection activeCell="B109" sqref="B109"/>
    </sheetView>
  </sheetViews>
  <sheetFormatPr defaultRowHeight="14.25"/>
  <cols>
    <col min="1" max="1" width="24.5703125" style="32" hidden="1" customWidth="1"/>
    <col min="2" max="2" width="55.5703125" style="32" customWidth="1"/>
    <col min="3" max="3" width="30.140625" style="32" customWidth="1"/>
    <col min="4" max="4" width="14.7109375" style="33" customWidth="1"/>
    <col min="5" max="5" width="20.42578125" style="34" hidden="1" customWidth="1"/>
    <col min="6" max="6" width="20.42578125" style="33" hidden="1" customWidth="1"/>
    <col min="7" max="7" width="15.140625" style="33" customWidth="1"/>
    <col min="8" max="8" width="11.42578125" style="35" hidden="1" customWidth="1"/>
    <col min="9" max="9" width="14.28515625" style="36" customWidth="1"/>
    <col min="10" max="10" width="14.85546875" style="36" customWidth="1"/>
    <col min="11" max="11" width="17.85546875" style="36" hidden="1" customWidth="1"/>
    <col min="12" max="12" width="15.140625" style="21" customWidth="1"/>
    <col min="13" max="13" width="16.140625" style="21" hidden="1" customWidth="1"/>
    <col min="14" max="14" width="13.85546875" style="21" customWidth="1"/>
    <col min="15" max="15" width="19.7109375" style="21" hidden="1" customWidth="1"/>
    <col min="16" max="16" width="14.5703125" style="21" customWidth="1"/>
    <col min="17" max="17" width="13.42578125" style="21" customWidth="1"/>
    <col min="18" max="18" width="13.5703125" style="36" customWidth="1"/>
    <col min="19" max="19" width="19.7109375" style="37" customWidth="1"/>
    <col min="20" max="20" width="14.7109375" style="37" customWidth="1"/>
    <col min="21" max="21" width="16.85546875" style="37" customWidth="1"/>
    <col min="22" max="22" width="10.85546875" style="37" bestFit="1" customWidth="1"/>
    <col min="23" max="16384" width="9.140625" style="37"/>
  </cols>
  <sheetData>
    <row r="2" spans="1:22" ht="31.5" customHeight="1">
      <c r="J2" s="1"/>
      <c r="K2" s="1"/>
      <c r="L2" s="1"/>
      <c r="M2" s="1"/>
      <c r="N2" s="1"/>
      <c r="O2" s="1"/>
    </row>
    <row r="3" spans="1:22" ht="69.75" customHeight="1">
      <c r="A3" s="184" t="s">
        <v>39</v>
      </c>
      <c r="B3" s="184"/>
      <c r="C3" s="184"/>
      <c r="D3" s="184"/>
      <c r="E3" s="184"/>
      <c r="F3" s="184"/>
      <c r="G3" s="184"/>
      <c r="H3" s="184"/>
      <c r="I3" s="2"/>
      <c r="J3" s="2"/>
      <c r="K3" s="2"/>
      <c r="L3" s="2"/>
      <c r="M3" s="2"/>
      <c r="N3" s="2"/>
      <c r="O3" s="2"/>
      <c r="P3" s="22"/>
      <c r="Q3" s="22"/>
    </row>
    <row r="4" spans="1:22" ht="20.25" hidden="1">
      <c r="A4" s="38"/>
      <c r="B4" s="39"/>
      <c r="C4" s="39"/>
      <c r="D4" s="23">
        <v>282680.90000000002</v>
      </c>
      <c r="E4" s="40" t="s">
        <v>23</v>
      </c>
      <c r="F4" s="40">
        <v>285586.2</v>
      </c>
      <c r="G4" s="24">
        <v>317408.42800000001</v>
      </c>
      <c r="H4" s="41">
        <f>G4-G7</f>
        <v>-6.399999838322401E-4</v>
      </c>
      <c r="I4" s="42">
        <v>325839.28899999999</v>
      </c>
      <c r="J4" s="43">
        <v>321247.21399999998</v>
      </c>
      <c r="K4" s="23">
        <f>317830.2+25</f>
        <v>317855.2</v>
      </c>
      <c r="L4" s="2">
        <v>348154.8</v>
      </c>
      <c r="M4" s="23">
        <v>278218.59999999998</v>
      </c>
      <c r="N4" s="23">
        <f>338325.8+95.6</f>
        <v>338421.39999999997</v>
      </c>
      <c r="O4" s="23">
        <v>284347.09999999998</v>
      </c>
      <c r="P4" s="24">
        <f>299197.9+95.6</f>
        <v>299293.5</v>
      </c>
      <c r="Q4" s="24">
        <f>297074.1+95.6</f>
        <v>297169.69999999995</v>
      </c>
      <c r="R4" s="44"/>
    </row>
    <row r="5" spans="1:22" ht="20.25" customHeight="1">
      <c r="A5" s="185" t="s">
        <v>0</v>
      </c>
      <c r="B5" s="186" t="s">
        <v>7</v>
      </c>
      <c r="C5" s="185" t="s">
        <v>1</v>
      </c>
      <c r="D5" s="45">
        <f>D4-D7</f>
        <v>0</v>
      </c>
      <c r="E5" s="46"/>
      <c r="F5" s="47">
        <f>F4-F7</f>
        <v>0</v>
      </c>
      <c r="G5" s="45">
        <f>G4-G7</f>
        <v>-6.399999838322401E-4</v>
      </c>
      <c r="H5" s="47"/>
      <c r="I5" s="48">
        <f>I4-I7</f>
        <v>4.2999995639547706E-4</v>
      </c>
      <c r="J5" s="3">
        <f>J4-J7</f>
        <v>4.9999996554106474E-4</v>
      </c>
      <c r="K5" s="3">
        <f t="shared" ref="K5:P5" si="0">K4-K7</f>
        <v>0</v>
      </c>
      <c r="L5" s="3">
        <f t="shared" si="0"/>
        <v>0</v>
      </c>
      <c r="M5" s="3">
        <f t="shared" si="0"/>
        <v>0</v>
      </c>
      <c r="N5" s="3">
        <f t="shared" si="0"/>
        <v>0</v>
      </c>
      <c r="O5" s="3">
        <f t="shared" si="0"/>
        <v>284347.09999999998</v>
      </c>
      <c r="P5" s="25">
        <f t="shared" si="0"/>
        <v>0</v>
      </c>
      <c r="Q5" s="25">
        <f>Q4-Q7</f>
        <v>0</v>
      </c>
      <c r="R5" s="48"/>
      <c r="S5" s="37">
        <f>S6/1000-D7</f>
        <v>-13603.18405000004</v>
      </c>
    </row>
    <row r="6" spans="1:22" ht="39.75" customHeight="1">
      <c r="A6" s="185"/>
      <c r="B6" s="186"/>
      <c r="C6" s="185"/>
      <c r="D6" s="26" t="s">
        <v>5</v>
      </c>
      <c r="E6" s="125">
        <v>2015</v>
      </c>
      <c r="F6" s="49" t="s">
        <v>24</v>
      </c>
      <c r="G6" s="125" t="s">
        <v>27</v>
      </c>
      <c r="H6" s="50" t="s">
        <v>25</v>
      </c>
      <c r="I6" s="125" t="s">
        <v>10</v>
      </c>
      <c r="J6" s="125" t="s">
        <v>12</v>
      </c>
      <c r="K6" s="27" t="s">
        <v>12</v>
      </c>
      <c r="L6" s="125" t="s">
        <v>13</v>
      </c>
      <c r="M6" s="27" t="s">
        <v>13</v>
      </c>
      <c r="N6" s="26" t="s">
        <v>31</v>
      </c>
      <c r="O6" s="27" t="s">
        <v>31</v>
      </c>
      <c r="P6" s="26" t="s">
        <v>32</v>
      </c>
      <c r="Q6" s="26" t="s">
        <v>37</v>
      </c>
      <c r="R6" s="51" t="s">
        <v>38</v>
      </c>
      <c r="S6" s="37">
        <f>262568174.95-2088400-50000-400000-26567-230492+9405000-100000</f>
        <v>269077715.94999999</v>
      </c>
    </row>
    <row r="7" spans="1:22" s="58" customFormat="1" ht="20.25" hidden="1">
      <c r="A7" s="187" t="s">
        <v>8</v>
      </c>
      <c r="B7" s="189" t="s">
        <v>21</v>
      </c>
      <c r="C7" s="52" t="s">
        <v>6</v>
      </c>
      <c r="D7" s="4">
        <f>D12+D17+D27+D32+D42+D47+D62+D67+D57+D52+D72+D77+D37+D22</f>
        <v>282680.90000000002</v>
      </c>
      <c r="E7" s="4">
        <f>E12+E17+E27+E32+E42+E47+E62+E67+E57</f>
        <v>264438.2</v>
      </c>
      <c r="F7" s="4">
        <f>F12+F17+F27+F32+F42+F47+F62+F67+F57</f>
        <v>285586.2</v>
      </c>
      <c r="G7" s="53">
        <f>G12+G17+G27+G32+G42+G47+G62+G67+G57+G52+G72+G77+G37+G22</f>
        <v>317408.42864</v>
      </c>
      <c r="H7" s="4">
        <f>H12+H17+H27+H32+H42+H47+H62+H67+H57+H52+H72+H77+H37+H22</f>
        <v>5993.028639999995</v>
      </c>
      <c r="I7" s="53">
        <f>I12+I17+I27+I32+I42+I47+I62+I67+I57+I52+I72+I77+I37+I22</f>
        <v>325839.28857000003</v>
      </c>
      <c r="J7" s="53">
        <f>J12+J17+J27+J32+J42+J47+J62+J67+J57+J52+J72+J77+J37+J22</f>
        <v>321247.21350000001</v>
      </c>
      <c r="K7" s="28">
        <f>K9+K10</f>
        <v>317855.19999999995</v>
      </c>
      <c r="L7" s="4">
        <f>L12+L17+L27+L32+L42+L47+L62+L67+L57+L52+L72+L77+L37+L22+L82</f>
        <v>348154.8</v>
      </c>
      <c r="M7" s="28">
        <f>M9+M10</f>
        <v>278218.59999999998</v>
      </c>
      <c r="N7" s="133">
        <f>N12+N17+N27+N32+N42+N47+N62+N67+N57+N52+N72+N77+N37+N22+N82</f>
        <v>338421.39999999997</v>
      </c>
      <c r="O7" s="133">
        <f>O12+O17+O27+O32+O42+O47+O62+O67+O57+O52+O72+O77+O37+O22</f>
        <v>0</v>
      </c>
      <c r="P7" s="133">
        <f>P12+P17+P27+P32+P42+P47+P62+P67+P57+P52+P72+P77+P37+P22+P82</f>
        <v>299293.50000000006</v>
      </c>
      <c r="Q7" s="133">
        <f>Q12+Q17+Q27+Q32+Q42+Q47+Q62+Q67+Q57+Q52+Q72+Q77+Q37+Q22+Q82</f>
        <v>297169.7</v>
      </c>
      <c r="R7" s="129">
        <f t="shared" ref="R7:R70" si="1">D7+G7+I7+J7+L7+N7+P7+Q7</f>
        <v>2530215.2307100003</v>
      </c>
      <c r="S7" s="55">
        <f>D7+G7+I7+J7+L7+N7+P7+Q7</f>
        <v>2530215.2307100003</v>
      </c>
      <c r="T7" s="55">
        <f>R7-S7</f>
        <v>0</v>
      </c>
      <c r="U7" s="56">
        <f>282680.9+317408.429+282943.5+248078.4+373332.4</f>
        <v>1504443.6290000002</v>
      </c>
      <c r="V7" s="57">
        <f>SUM(D7:P7)</f>
        <v>3385136.7593499999</v>
      </c>
    </row>
    <row r="8" spans="1:22" s="58" customFormat="1" ht="21.75" hidden="1" customHeight="1">
      <c r="A8" s="188"/>
      <c r="B8" s="190"/>
      <c r="C8" s="59" t="s">
        <v>2</v>
      </c>
      <c r="D8" s="5">
        <f>D13+D18+D28+D33+D43+D48+D63+D68+D58</f>
        <v>1606.2</v>
      </c>
      <c r="E8" s="5">
        <f>E13+E18+E28+E33+E43+E48+E63+E68+E58+E53</f>
        <v>0</v>
      </c>
      <c r="F8" s="5">
        <f>F13+F18+F28+F33+F43+F48+F63+F68+F58</f>
        <v>0</v>
      </c>
      <c r="G8" s="60">
        <f>G13+G18+G28+G33+G43+G48+G63+G68+G58+G53</f>
        <v>0</v>
      </c>
      <c r="H8" s="5">
        <f>H13+H18+H28+H33+H43+H48+H63+H68+H58+H53</f>
        <v>0</v>
      </c>
      <c r="I8" s="61">
        <f>I13+I18+I28+I33+I43+I48+I63+I68+I58+I53+I73+I78+I38</f>
        <v>0</v>
      </c>
      <c r="J8" s="61">
        <f>J13+J18+J28+J33+J43+J48+J63+J68+J58+J53+J73+J78+J38</f>
        <v>0</v>
      </c>
      <c r="K8" s="62">
        <f>K13+K18+K28+K33+K43+K48+K63+K68+K58+K53+K73+K78+K38</f>
        <v>0</v>
      </c>
      <c r="L8" s="5">
        <f>L13+L18+L28+L33+L43+L48+L63+L68+L58+L53+L73+L78+L38</f>
        <v>0</v>
      </c>
      <c r="M8" s="28">
        <f>L8</f>
        <v>0</v>
      </c>
      <c r="N8" s="134">
        <f>N13+N18+N28+N33+N43+N48+N63+N68+N58+N53+N73+N78+N38</f>
        <v>0</v>
      </c>
      <c r="O8" s="135">
        <f>N8</f>
        <v>0</v>
      </c>
      <c r="P8" s="134">
        <f>P13+P18+P28+P33+P43+P48+P63+P68+P58+P53+P73+P78+P38</f>
        <v>0</v>
      </c>
      <c r="Q8" s="134">
        <f>Q13+Q18+Q28+Q33+Q43+Q48+Q63+Q68+Q58+Q53+Q73+Q78+Q38</f>
        <v>0</v>
      </c>
      <c r="R8" s="129">
        <f t="shared" si="1"/>
        <v>1606.2</v>
      </c>
      <c r="S8" s="55">
        <f>D8+G8+I8+J8+L8+N8+P8+Q8</f>
        <v>1606.2</v>
      </c>
      <c r="T8" s="57">
        <f>K9-J9</f>
        <v>-7085.4144000000088</v>
      </c>
      <c r="U8" s="56"/>
    </row>
    <row r="9" spans="1:22" s="58" customFormat="1" ht="20.25" hidden="1">
      <c r="A9" s="188"/>
      <c r="B9" s="190"/>
      <c r="C9" s="59" t="s">
        <v>3</v>
      </c>
      <c r="D9" s="5">
        <f>D14+D19+D29+D34+D44+D49+D64+D69+D59</f>
        <v>150051.00000000003</v>
      </c>
      <c r="E9" s="5">
        <f>E14+E19+E29+E34+E44+E49+E64+E69+E59</f>
        <v>140229.70000000001</v>
      </c>
      <c r="F9" s="5">
        <f>F14+F19+F29+F34+F44+F49+F64+F69+F59</f>
        <v>152671.5</v>
      </c>
      <c r="G9" s="60">
        <f>G14+G19+G29+G34+G44+G49+G64+G69+G59+G54</f>
        <v>167398.30566000001</v>
      </c>
      <c r="H9" s="5">
        <f>H14+H19+H29+H34+H44+H49+H64+H69+H59+H54</f>
        <v>14726.805660000002</v>
      </c>
      <c r="I9" s="61">
        <f>I14+I19+I29+I34+I44+I49+I64+I69+I59+I54+I74+I79+I39</f>
        <v>173467.06607999999</v>
      </c>
      <c r="J9" s="61">
        <f>J14+J19+J29+J34+J44+J49+J64+J69+J59+J54+J74+J79+J39</f>
        <v>173776.8144</v>
      </c>
      <c r="K9" s="28">
        <v>166691.4</v>
      </c>
      <c r="L9" s="5">
        <f>L14+L19+L29+L34+L44+L49+L64+L69+L59+L54+L74+L79+L39+L84</f>
        <v>192388.90000000002</v>
      </c>
      <c r="M9" s="28">
        <v>145048.79999999999</v>
      </c>
      <c r="N9" s="134">
        <f>N14+N19+N29+N34+N44+N49+N64+N69+N59+N54+N74+N79+N39+N84</f>
        <v>185223.30000000002</v>
      </c>
      <c r="O9" s="134">
        <f>O14+O19+O29+O34+O44+O49+O64+O69+O59+O54+O74+O79+O39</f>
        <v>64960.7</v>
      </c>
      <c r="P9" s="134">
        <f>P14+P19+P29+P34+P44+P49+P64+P69+P59+P54+P74+P79+P39+P84</f>
        <v>164624.70000000001</v>
      </c>
      <c r="Q9" s="134">
        <f>Q14+Q19+Q29+Q34+Q44+Q49+Q64+Q69+Q59+Q54+Q74+Q79+Q39+Q84</f>
        <v>160386.20000000001</v>
      </c>
      <c r="R9" s="129">
        <f t="shared" si="1"/>
        <v>1367316.2861400002</v>
      </c>
      <c r="S9" s="55">
        <f>D9+G9+I9+J9+L9+N9+P9+Q9</f>
        <v>1367316.2861400002</v>
      </c>
      <c r="T9" s="57">
        <f>K10-J10</f>
        <v>3693.4008999999787</v>
      </c>
      <c r="U9" s="56">
        <f>150051+167398.306+133698.2+132093+175088.9</f>
        <v>758329.40600000008</v>
      </c>
    </row>
    <row r="10" spans="1:22" s="58" customFormat="1" ht="20.25" hidden="1">
      <c r="A10" s="188"/>
      <c r="B10" s="190"/>
      <c r="C10" s="59" t="s">
        <v>9</v>
      </c>
      <c r="D10" s="5">
        <f t="shared" ref="D10:I10" si="2">D15+D20+D30+D35+D45+D50+D65+D70+D60+D55+D75+D80+D40+D25</f>
        <v>131023.7</v>
      </c>
      <c r="E10" s="5">
        <f t="shared" si="2"/>
        <v>148523.5</v>
      </c>
      <c r="F10" s="5">
        <f t="shared" si="2"/>
        <v>158247.90000000002</v>
      </c>
      <c r="G10" s="61">
        <f t="shared" si="2"/>
        <v>150010.12298000004</v>
      </c>
      <c r="H10" s="61">
        <f t="shared" si="2"/>
        <v>-8237.777020000005</v>
      </c>
      <c r="I10" s="61">
        <f t="shared" si="2"/>
        <v>152372.22248999999</v>
      </c>
      <c r="J10" s="61">
        <f>J15+J20+J30+J35+J45+J50+J65+J70+J60+J55+J75+J80+J40+J25</f>
        <v>147470.39910000001</v>
      </c>
      <c r="K10" s="28">
        <v>151163.79999999999</v>
      </c>
      <c r="L10" s="5">
        <f>L15+L20+L30+L35+L45+L50+L65+L70+L60+L55+L75+L80+L40+L25+L85</f>
        <v>155765.90000000002</v>
      </c>
      <c r="M10" s="28">
        <v>133169.79999999999</v>
      </c>
      <c r="N10" s="134">
        <f>N15+N20+N30+N35+N45+N50+N65+N70+N60+N55+N75+N80+N40+N25+N85</f>
        <v>153198.1</v>
      </c>
      <c r="O10" s="134">
        <f>O15+O20+O30+O35+O45+O50+O65+O70+O60+O55+O75+O80+O40+O25</f>
        <v>0</v>
      </c>
      <c r="P10" s="134">
        <f>P15+P20+P30+P35+P45+P50+P65+P70+P60+P55+P75+P80+P40+P25+P85</f>
        <v>134668.80000000002</v>
      </c>
      <c r="Q10" s="134">
        <f>Q15+Q20+Q30+Q35+Q45+Q50+Q65+Q70+Q60+Q55+Q75+Q80+Q40+Q25+Q85</f>
        <v>136783.5</v>
      </c>
      <c r="R10" s="129">
        <f t="shared" si="1"/>
        <v>1161292.7445700001</v>
      </c>
      <c r="S10" s="55">
        <f>D10+G10+I10+J10+L10+N10+P10+Q10</f>
        <v>1161292.7445700001</v>
      </c>
      <c r="U10" s="56">
        <f>131023.7+150010.123+149245.3+115985.4+198243.5</f>
        <v>744508.02299999993</v>
      </c>
    </row>
    <row r="11" spans="1:22" s="58" customFormat="1" ht="40.5" hidden="1">
      <c r="A11" s="188"/>
      <c r="B11" s="191"/>
      <c r="C11" s="59" t="s">
        <v>4</v>
      </c>
      <c r="D11" s="5">
        <f>D16+D21+D31+D36+D46+D51+D66+D71+D61</f>
        <v>0</v>
      </c>
      <c r="E11" s="5">
        <f>E16+E21+E31+E36+E46+E51+E66+E71+E61</f>
        <v>0</v>
      </c>
      <c r="F11" s="5">
        <f>F16+F21+F31+F36+F46+F51+F66+F71+F61</f>
        <v>0</v>
      </c>
      <c r="G11" s="60">
        <f>G16+G21+G31+G36+G46+G51+G66+G71+G61+G56+G76+G81+G41</f>
        <v>0</v>
      </c>
      <c r="H11" s="5">
        <f>H16+H21+H31+H36+H46+H51+H66+H71+H61+H56</f>
        <v>0</v>
      </c>
      <c r="I11" s="61">
        <f>I16+I21+I31+I36+I46+I51+I66+I71+I61+I56+I76+I81+I41</f>
        <v>0</v>
      </c>
      <c r="J11" s="61">
        <f>J16+J21+J31+J36+J46+J51+J66+J71+J61+J56+J76+J81+J41</f>
        <v>0</v>
      </c>
      <c r="K11" s="28">
        <f>K16+K21+K31+K36+K46+K51+K66+K71+K61+K56+K76+K81+K41</f>
        <v>0</v>
      </c>
      <c r="L11" s="5">
        <f>L16+L21+L31+L36+L46+L51+L66+L71+L61+L56+L76+L81+L41</f>
        <v>0</v>
      </c>
      <c r="M11" s="28">
        <f>L11</f>
        <v>0</v>
      </c>
      <c r="N11" s="5">
        <f>N16+N21+N31+N36+N46+N51+N66+N71+N61+N56+N76+N81+N41</f>
        <v>0</v>
      </c>
      <c r="O11" s="28">
        <f>N11</f>
        <v>0</v>
      </c>
      <c r="P11" s="5">
        <f>P16+P21+P31+P36+P46+P51+P66+P71+P61+P56+P76+P81+P41</f>
        <v>0</v>
      </c>
      <c r="Q11" s="5">
        <f>Q16+Q21+Q31+Q36+Q46+Q51+Q66+Q71+Q61+Q56+Q76+Q81+Q41</f>
        <v>0</v>
      </c>
      <c r="R11" s="54">
        <f t="shared" si="1"/>
        <v>0</v>
      </c>
      <c r="S11" s="55">
        <f>D11+G11+I11+J11+L11+N11+P11+Q11</f>
        <v>0</v>
      </c>
      <c r="U11" s="56"/>
    </row>
    <row r="12" spans="1:22" s="70" customFormat="1" ht="20.25" hidden="1">
      <c r="A12" s="173" t="s">
        <v>11</v>
      </c>
      <c r="B12" s="173" t="s">
        <v>33</v>
      </c>
      <c r="C12" s="63" t="s">
        <v>6</v>
      </c>
      <c r="D12" s="64">
        <f>D13+D14+D15+D16</f>
        <v>1193.9000000000001</v>
      </c>
      <c r="E12" s="65">
        <f>E13+E14+E15+E16</f>
        <v>2170</v>
      </c>
      <c r="F12" s="65">
        <f>F13+F14+F15+F16</f>
        <v>2170</v>
      </c>
      <c r="G12" s="66">
        <f>G13+G14+G15+G16</f>
        <v>915.07717000000002</v>
      </c>
      <c r="H12" s="67">
        <f t="shared" ref="H12:H80" si="3">G12-F12</f>
        <v>-1254.92283</v>
      </c>
      <c r="I12" s="68">
        <f>I13+I14+I15+I16</f>
        <v>379.59521000000001</v>
      </c>
      <c r="J12" s="69">
        <f>J13+J14+J15+J16</f>
        <v>570.82299999999998</v>
      </c>
      <c r="K12" s="18"/>
      <c r="L12" s="6">
        <f>L13+L14+L15+L16</f>
        <v>583</v>
      </c>
      <c r="M12" s="6"/>
      <c r="N12" s="6">
        <f>N13+N14+N15+N16</f>
        <v>333</v>
      </c>
      <c r="O12" s="6"/>
      <c r="P12" s="6">
        <f>P13+P14+P15+P16</f>
        <v>333</v>
      </c>
      <c r="Q12" s="6">
        <f>Q13+Q14+Q15+Q16</f>
        <v>333</v>
      </c>
      <c r="R12" s="54">
        <f t="shared" si="1"/>
        <v>4641.3953799999999</v>
      </c>
      <c r="U12" s="71">
        <f>1193.9+915.077+920+920+1880</f>
        <v>5828.9769999999999</v>
      </c>
    </row>
    <row r="13" spans="1:22" ht="24" hidden="1" customHeight="1">
      <c r="A13" s="174"/>
      <c r="B13" s="174"/>
      <c r="C13" s="72" t="s">
        <v>2</v>
      </c>
      <c r="D13" s="20">
        <v>0</v>
      </c>
      <c r="E13" s="11">
        <v>0</v>
      </c>
      <c r="F13" s="11">
        <v>0</v>
      </c>
      <c r="G13" s="73">
        <v>0</v>
      </c>
      <c r="H13" s="67">
        <f t="shared" si="3"/>
        <v>0</v>
      </c>
      <c r="I13" s="74">
        <v>0</v>
      </c>
      <c r="J13" s="75">
        <v>0</v>
      </c>
      <c r="K13" s="13"/>
      <c r="L13" s="7">
        <v>0</v>
      </c>
      <c r="M13" s="7"/>
      <c r="N13" s="7">
        <v>0</v>
      </c>
      <c r="O13" s="7"/>
      <c r="P13" s="7">
        <v>0</v>
      </c>
      <c r="Q13" s="7">
        <v>0</v>
      </c>
      <c r="R13" s="54">
        <f t="shared" si="1"/>
        <v>0</v>
      </c>
      <c r="U13" s="76"/>
    </row>
    <row r="14" spans="1:22" ht="20.25" hidden="1">
      <c r="A14" s="174"/>
      <c r="B14" s="174"/>
      <c r="C14" s="72" t="s">
        <v>3</v>
      </c>
      <c r="D14" s="20">
        <v>400.1</v>
      </c>
      <c r="E14" s="11">
        <v>0</v>
      </c>
      <c r="F14" s="11">
        <v>0</v>
      </c>
      <c r="G14" s="73">
        <v>0</v>
      </c>
      <c r="H14" s="67">
        <f t="shared" si="3"/>
        <v>0</v>
      </c>
      <c r="I14" s="74">
        <v>0</v>
      </c>
      <c r="J14" s="75">
        <v>0</v>
      </c>
      <c r="K14" s="13"/>
      <c r="L14" s="7">
        <v>0</v>
      </c>
      <c r="M14" s="7"/>
      <c r="N14" s="7">
        <v>0</v>
      </c>
      <c r="O14" s="7"/>
      <c r="P14" s="7">
        <v>0</v>
      </c>
      <c r="Q14" s="7">
        <v>0</v>
      </c>
      <c r="R14" s="54">
        <f t="shared" si="1"/>
        <v>400.1</v>
      </c>
      <c r="U14" s="76"/>
    </row>
    <row r="15" spans="1:22" ht="20.25" hidden="1">
      <c r="A15" s="174"/>
      <c r="B15" s="174"/>
      <c r="C15" s="72" t="s">
        <v>9</v>
      </c>
      <c r="D15" s="20">
        <v>793.8</v>
      </c>
      <c r="E15" s="11">
        <v>2170</v>
      </c>
      <c r="F15" s="11">
        <v>2170</v>
      </c>
      <c r="G15" s="73">
        <v>915.07717000000002</v>
      </c>
      <c r="H15" s="67">
        <f t="shared" si="3"/>
        <v>-1254.92283</v>
      </c>
      <c r="I15" s="77">
        <v>379.59521000000001</v>
      </c>
      <c r="J15" s="75">
        <v>570.82299999999998</v>
      </c>
      <c r="K15" s="13"/>
      <c r="L15" s="7">
        <v>583</v>
      </c>
      <c r="M15" s="7"/>
      <c r="N15" s="7">
        <v>333</v>
      </c>
      <c r="O15" s="7"/>
      <c r="P15" s="7">
        <v>333</v>
      </c>
      <c r="Q15" s="7">
        <v>333</v>
      </c>
      <c r="R15" s="54">
        <f t="shared" si="1"/>
        <v>4241.2953799999996</v>
      </c>
      <c r="U15" s="76">
        <f>793.8+915.077+920+920+1880</f>
        <v>5428.8770000000004</v>
      </c>
    </row>
    <row r="16" spans="1:22" ht="24" hidden="1" customHeight="1">
      <c r="A16" s="174"/>
      <c r="B16" s="174"/>
      <c r="C16" s="72" t="s">
        <v>4</v>
      </c>
      <c r="D16" s="20">
        <v>0</v>
      </c>
      <c r="E16" s="11">
        <v>0</v>
      </c>
      <c r="F16" s="11">
        <v>0</v>
      </c>
      <c r="G16" s="73">
        <v>0</v>
      </c>
      <c r="H16" s="67">
        <f t="shared" si="3"/>
        <v>0</v>
      </c>
      <c r="I16" s="74"/>
      <c r="J16" s="13">
        <v>0</v>
      </c>
      <c r="K16" s="13"/>
      <c r="L16" s="7">
        <v>0</v>
      </c>
      <c r="M16" s="7"/>
      <c r="N16" s="7">
        <v>0</v>
      </c>
      <c r="O16" s="7"/>
      <c r="P16" s="7">
        <v>0</v>
      </c>
      <c r="Q16" s="7">
        <v>0</v>
      </c>
      <c r="R16" s="54">
        <f t="shared" si="1"/>
        <v>0</v>
      </c>
      <c r="U16" s="76"/>
    </row>
    <row r="17" spans="1:21" s="70" customFormat="1" ht="20.25" hidden="1" customHeight="1">
      <c r="A17" s="173" t="s">
        <v>11</v>
      </c>
      <c r="B17" s="173" t="s">
        <v>34</v>
      </c>
      <c r="C17" s="63" t="s">
        <v>6</v>
      </c>
      <c r="D17" s="19">
        <f>D18+D19+D20+D21</f>
        <v>10149.5</v>
      </c>
      <c r="E17" s="65">
        <f>E18+E19+E20+E21</f>
        <v>14742</v>
      </c>
      <c r="F17" s="65">
        <f>F18+F19+F20+F21</f>
        <v>14742</v>
      </c>
      <c r="G17" s="66">
        <f>G18+G19+G20+G21</f>
        <v>16016.793449999999</v>
      </c>
      <c r="H17" s="67">
        <f t="shared" si="3"/>
        <v>1274.7934499999992</v>
      </c>
      <c r="I17" s="68">
        <f>I18+I19+I20+I21</f>
        <v>15541.838750000001</v>
      </c>
      <c r="J17" s="69">
        <f>J18+J19+J20+J21</f>
        <v>14831.6</v>
      </c>
      <c r="K17" s="18"/>
      <c r="L17" s="6">
        <f>L18+L19+L20+L21</f>
        <v>17376.900000000001</v>
      </c>
      <c r="M17" s="6"/>
      <c r="N17" s="6">
        <f>N18+N19+N20+N21</f>
        <v>26396.9</v>
      </c>
      <c r="O17" s="6"/>
      <c r="P17" s="6">
        <f>P18+P19+P20+P21</f>
        <v>19306.5</v>
      </c>
      <c r="Q17" s="6">
        <f>Q18+Q19+Q20+Q21</f>
        <v>16943</v>
      </c>
      <c r="R17" s="54">
        <f t="shared" si="1"/>
        <v>136563.03219999999</v>
      </c>
      <c r="U17" s="71">
        <f>10149.5+16016.793+13854.1+9550+10369</f>
        <v>59939.392999999996</v>
      </c>
    </row>
    <row r="18" spans="1:21" ht="25.5" hidden="1" customHeight="1">
      <c r="A18" s="174"/>
      <c r="B18" s="174"/>
      <c r="C18" s="72" t="s">
        <v>2</v>
      </c>
      <c r="D18" s="20">
        <v>0</v>
      </c>
      <c r="E18" s="11">
        <v>0</v>
      </c>
      <c r="F18" s="11">
        <v>0</v>
      </c>
      <c r="G18" s="73">
        <v>0</v>
      </c>
      <c r="H18" s="67">
        <f t="shared" si="3"/>
        <v>0</v>
      </c>
      <c r="I18" s="74">
        <v>0</v>
      </c>
      <c r="J18" s="75">
        <v>0</v>
      </c>
      <c r="K18" s="13"/>
      <c r="L18" s="7">
        <v>0</v>
      </c>
      <c r="M18" s="7"/>
      <c r="N18" s="7">
        <v>0</v>
      </c>
      <c r="O18" s="7"/>
      <c r="P18" s="7">
        <v>0</v>
      </c>
      <c r="Q18" s="7">
        <v>0</v>
      </c>
      <c r="R18" s="54">
        <f t="shared" si="1"/>
        <v>0</v>
      </c>
      <c r="U18" s="76"/>
    </row>
    <row r="19" spans="1:21" ht="20.25" hidden="1">
      <c r="A19" s="174"/>
      <c r="B19" s="174"/>
      <c r="C19" s="72" t="s">
        <v>3</v>
      </c>
      <c r="D19" s="78">
        <v>10149.5</v>
      </c>
      <c r="E19" s="79">
        <v>14742</v>
      </c>
      <c r="F19" s="79">
        <v>14742</v>
      </c>
      <c r="G19" s="73">
        <v>16016.793449999999</v>
      </c>
      <c r="H19" s="67">
        <f t="shared" si="3"/>
        <v>1274.7934499999992</v>
      </c>
      <c r="I19" s="74">
        <v>15541.838750000001</v>
      </c>
      <c r="J19" s="80">
        <v>14831.6</v>
      </c>
      <c r="K19" s="7"/>
      <c r="L19" s="7">
        <v>17376.900000000001</v>
      </c>
      <c r="M19" s="7"/>
      <c r="N19" s="7">
        <v>26396.9</v>
      </c>
      <c r="O19" s="7"/>
      <c r="P19" s="7">
        <v>19306.5</v>
      </c>
      <c r="Q19" s="7">
        <v>16943</v>
      </c>
      <c r="R19" s="54">
        <f t="shared" si="1"/>
        <v>136563.03219999999</v>
      </c>
      <c r="S19" s="37">
        <v>7793</v>
      </c>
      <c r="U19" s="76"/>
    </row>
    <row r="20" spans="1:21" ht="20.25" hidden="1">
      <c r="A20" s="174"/>
      <c r="B20" s="174"/>
      <c r="C20" s="72" t="s">
        <v>9</v>
      </c>
      <c r="D20" s="20">
        <v>0</v>
      </c>
      <c r="E20" s="11"/>
      <c r="F20" s="11"/>
      <c r="G20" s="73"/>
      <c r="H20" s="67">
        <f t="shared" si="3"/>
        <v>0</v>
      </c>
      <c r="I20" s="74">
        <v>0</v>
      </c>
      <c r="J20" s="13">
        <v>0</v>
      </c>
      <c r="K20" s="13"/>
      <c r="L20" s="7">
        <v>0</v>
      </c>
      <c r="M20" s="7"/>
      <c r="N20" s="7">
        <v>0</v>
      </c>
      <c r="O20" s="7"/>
      <c r="P20" s="7">
        <v>0</v>
      </c>
      <c r="Q20" s="7">
        <v>0</v>
      </c>
      <c r="R20" s="54">
        <f t="shared" si="1"/>
        <v>0</v>
      </c>
      <c r="U20" s="76"/>
    </row>
    <row r="21" spans="1:21" ht="24" hidden="1" customHeight="1">
      <c r="A21" s="175"/>
      <c r="B21" s="175"/>
      <c r="C21" s="72" t="s">
        <v>4</v>
      </c>
      <c r="D21" s="20">
        <v>0</v>
      </c>
      <c r="E21" s="81"/>
      <c r="F21" s="81"/>
      <c r="G21" s="73">
        <v>0</v>
      </c>
      <c r="H21" s="67">
        <f t="shared" si="3"/>
        <v>0</v>
      </c>
      <c r="I21" s="74">
        <v>0</v>
      </c>
      <c r="J21" s="13">
        <v>0</v>
      </c>
      <c r="K21" s="13"/>
      <c r="L21" s="7">
        <v>0</v>
      </c>
      <c r="M21" s="7"/>
      <c r="N21" s="7">
        <v>0</v>
      </c>
      <c r="O21" s="7"/>
      <c r="P21" s="7">
        <v>0</v>
      </c>
      <c r="Q21" s="7">
        <v>0</v>
      </c>
      <c r="R21" s="54">
        <f t="shared" si="1"/>
        <v>0</v>
      </c>
      <c r="U21" s="76"/>
    </row>
    <row r="22" spans="1:21" s="70" customFormat="1" ht="20.25" hidden="1" customHeight="1">
      <c r="A22" s="173" t="s">
        <v>11</v>
      </c>
      <c r="B22" s="173" t="s">
        <v>35</v>
      </c>
      <c r="C22" s="63" t="s">
        <v>6</v>
      </c>
      <c r="D22" s="19">
        <f>D23+D24+D25+D26</f>
        <v>0</v>
      </c>
      <c r="E22" s="65">
        <f>E23+E24+E25+E26</f>
        <v>0</v>
      </c>
      <c r="F22" s="65">
        <f>F23+F24+F25+F26</f>
        <v>0</v>
      </c>
      <c r="G22" s="66">
        <f>G23+G24+G25+G26</f>
        <v>0</v>
      </c>
      <c r="H22" s="67">
        <f>G22-F22</f>
        <v>0</v>
      </c>
      <c r="I22" s="68">
        <f>I23+I24+I25+I26</f>
        <v>0</v>
      </c>
      <c r="J22" s="18">
        <f>J23+J24+J25+J26</f>
        <v>0</v>
      </c>
      <c r="K22" s="18"/>
      <c r="L22" s="6">
        <f>L23+L24+L25+L26</f>
        <v>50</v>
      </c>
      <c r="M22" s="6"/>
      <c r="N22" s="6">
        <f>N23+N24+N25+N26</f>
        <v>50</v>
      </c>
      <c r="O22" s="6"/>
      <c r="P22" s="6">
        <f>P23+P24+P25+P26</f>
        <v>50</v>
      </c>
      <c r="Q22" s="6">
        <f>Q23+Q24+Q25+Q26</f>
        <v>50</v>
      </c>
      <c r="R22" s="54">
        <f t="shared" si="1"/>
        <v>200</v>
      </c>
      <c r="U22" s="71">
        <f>10149.5+16016.793+13854.1+9550+10369</f>
        <v>59939.392999999996</v>
      </c>
    </row>
    <row r="23" spans="1:21" ht="25.5" hidden="1" customHeight="1">
      <c r="A23" s="174"/>
      <c r="B23" s="174"/>
      <c r="C23" s="72" t="s">
        <v>2</v>
      </c>
      <c r="D23" s="20">
        <v>0</v>
      </c>
      <c r="E23" s="11">
        <v>0</v>
      </c>
      <c r="F23" s="11">
        <v>0</v>
      </c>
      <c r="G23" s="73">
        <v>0</v>
      </c>
      <c r="H23" s="67">
        <f>G23-F23</f>
        <v>0</v>
      </c>
      <c r="I23" s="74">
        <v>0</v>
      </c>
      <c r="J23" s="13">
        <v>0</v>
      </c>
      <c r="K23" s="13"/>
      <c r="L23" s="7">
        <v>0</v>
      </c>
      <c r="M23" s="7"/>
      <c r="N23" s="7">
        <v>0</v>
      </c>
      <c r="O23" s="7"/>
      <c r="P23" s="7">
        <v>0</v>
      </c>
      <c r="Q23" s="7">
        <v>0</v>
      </c>
      <c r="R23" s="54">
        <f t="shared" si="1"/>
        <v>0</v>
      </c>
      <c r="U23" s="76"/>
    </row>
    <row r="24" spans="1:21" ht="20.25" hidden="1">
      <c r="A24" s="174"/>
      <c r="B24" s="174"/>
      <c r="C24" s="72" t="s">
        <v>3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7">
        <v>0</v>
      </c>
      <c r="K24" s="7"/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54">
        <f t="shared" si="1"/>
        <v>0</v>
      </c>
      <c r="S24" s="37">
        <v>7793</v>
      </c>
      <c r="U24" s="76"/>
    </row>
    <row r="25" spans="1:21" ht="20.25" hidden="1">
      <c r="A25" s="174"/>
      <c r="B25" s="174"/>
      <c r="C25" s="72" t="s">
        <v>9</v>
      </c>
      <c r="D25" s="20">
        <v>0</v>
      </c>
      <c r="E25" s="11"/>
      <c r="F25" s="11"/>
      <c r="G25" s="73"/>
      <c r="H25" s="67">
        <f>G25-F25</f>
        <v>0</v>
      </c>
      <c r="I25" s="74">
        <v>0</v>
      </c>
      <c r="J25" s="13">
        <v>0</v>
      </c>
      <c r="K25" s="13"/>
      <c r="L25" s="7">
        <v>50</v>
      </c>
      <c r="M25" s="7"/>
      <c r="N25" s="7">
        <v>50</v>
      </c>
      <c r="O25" s="7"/>
      <c r="P25" s="7">
        <v>50</v>
      </c>
      <c r="Q25" s="7">
        <v>50</v>
      </c>
      <c r="R25" s="54">
        <f t="shared" si="1"/>
        <v>200</v>
      </c>
      <c r="U25" s="76"/>
    </row>
    <row r="26" spans="1:21" ht="40.5" hidden="1">
      <c r="A26" s="175"/>
      <c r="B26" s="175"/>
      <c r="C26" s="72" t="s">
        <v>4</v>
      </c>
      <c r="D26" s="20">
        <v>0</v>
      </c>
      <c r="E26" s="81"/>
      <c r="F26" s="81"/>
      <c r="G26" s="73">
        <v>0</v>
      </c>
      <c r="H26" s="67">
        <f>G26-F26</f>
        <v>0</v>
      </c>
      <c r="I26" s="74">
        <v>0</v>
      </c>
      <c r="J26" s="13">
        <v>0</v>
      </c>
      <c r="K26" s="13"/>
      <c r="L26" s="7">
        <v>0</v>
      </c>
      <c r="M26" s="7"/>
      <c r="N26" s="7">
        <v>0</v>
      </c>
      <c r="O26" s="7"/>
      <c r="P26" s="7">
        <v>0</v>
      </c>
      <c r="Q26" s="7">
        <v>0</v>
      </c>
      <c r="R26" s="54">
        <f t="shared" si="1"/>
        <v>0</v>
      </c>
      <c r="U26" s="76"/>
    </row>
    <row r="27" spans="1:21" s="70" customFormat="1" ht="20.25" hidden="1" customHeight="1">
      <c r="A27" s="82" t="s">
        <v>14</v>
      </c>
      <c r="B27" s="173" t="s">
        <v>19</v>
      </c>
      <c r="C27" s="63" t="s">
        <v>6</v>
      </c>
      <c r="D27" s="19">
        <f>D28+D29+D30+D31</f>
        <v>125819.1</v>
      </c>
      <c r="E27" s="83">
        <f>E28+E29+E30+E31</f>
        <v>118753.7</v>
      </c>
      <c r="F27" s="83">
        <f>F28+F29+F30+F31</f>
        <v>121920.1</v>
      </c>
      <c r="G27" s="66">
        <f>G28+G29+G30+G31-0.001</f>
        <v>138997.21671000001</v>
      </c>
      <c r="H27" s="67">
        <f t="shared" si="3"/>
        <v>17077.116710000002</v>
      </c>
      <c r="I27" s="68">
        <f>I28+I29+I30+I31</f>
        <v>124616.94589999999</v>
      </c>
      <c r="J27" s="84">
        <f>J28+J29+J30+J31</f>
        <v>125148.533</v>
      </c>
      <c r="K27" s="8"/>
      <c r="L27" s="8">
        <f>L28+L29+L30+L31</f>
        <v>142735.29999999999</v>
      </c>
      <c r="M27" s="29"/>
      <c r="N27" s="29">
        <f>N28+N29+N30+N31</f>
        <v>150294.79999999999</v>
      </c>
      <c r="O27" s="29"/>
      <c r="P27" s="29">
        <f>P28+P29+P30+P31</f>
        <v>139335.9</v>
      </c>
      <c r="Q27" s="29">
        <f>Q28+Q29+Q30+Q31</f>
        <v>139110.9</v>
      </c>
      <c r="R27" s="54">
        <f t="shared" si="1"/>
        <v>1086058.6956100001</v>
      </c>
      <c r="S27" s="85">
        <f>D27+D47</f>
        <v>136286.39999999999</v>
      </c>
      <c r="T27" s="70">
        <f>111152.5+162-72</f>
        <v>111242.5</v>
      </c>
      <c r="U27" s="86"/>
    </row>
    <row r="28" spans="1:21" ht="24" hidden="1" customHeight="1">
      <c r="A28" s="126"/>
      <c r="B28" s="174"/>
      <c r="C28" s="72" t="s">
        <v>2</v>
      </c>
      <c r="D28" s="20">
        <v>0</v>
      </c>
      <c r="E28" s="87"/>
      <c r="F28" s="87"/>
      <c r="G28" s="88"/>
      <c r="H28" s="67">
        <f t="shared" si="3"/>
        <v>0</v>
      </c>
      <c r="I28" s="74"/>
      <c r="J28" s="9"/>
      <c r="K28" s="9"/>
      <c r="L28" s="9"/>
      <c r="M28" s="7"/>
      <c r="N28" s="7"/>
      <c r="O28" s="7"/>
      <c r="P28" s="7"/>
      <c r="Q28" s="7"/>
      <c r="R28" s="54">
        <f t="shared" si="1"/>
        <v>0</v>
      </c>
      <c r="S28" s="89">
        <f>172605.8-30-32132.8+2292.3</f>
        <v>142735.29999999999</v>
      </c>
      <c r="T28" s="90">
        <f>J27-S28</f>
        <v>-17586.766999999993</v>
      </c>
      <c r="U28" s="76"/>
    </row>
    <row r="29" spans="1:21" ht="20.25" hidden="1">
      <c r="A29" s="126"/>
      <c r="B29" s="174"/>
      <c r="C29" s="72" t="s">
        <v>3</v>
      </c>
      <c r="D29" s="31">
        <v>59655.9</v>
      </c>
      <c r="E29" s="87">
        <f>43046.2+8313-136</f>
        <v>51223.199999999997</v>
      </c>
      <c r="F29" s="87">
        <f>43046.2+8313-136</f>
        <v>51223.199999999997</v>
      </c>
      <c r="G29" s="91">
        <v>58173.612439999997</v>
      </c>
      <c r="H29" s="67">
        <f t="shared" si="3"/>
        <v>6950.4124400000001</v>
      </c>
      <c r="I29" s="92">
        <f>(1425871.86+2304128.14+39385133.32+13331546.45+83798.14+1099590.66+29931.43+6102573.36)/1000</f>
        <v>63762.573359999995</v>
      </c>
      <c r="J29" s="93">
        <v>64859.974999999999</v>
      </c>
      <c r="K29" s="10"/>
      <c r="L29" s="10">
        <f>16040.8+62930.7+2292.3</f>
        <v>81263.8</v>
      </c>
      <c r="M29" s="13">
        <f>57466.5+2528.1+2422.6</f>
        <v>62417.2</v>
      </c>
      <c r="N29" s="30">
        <f>6522.2+67386.8+2247.3+5.4</f>
        <v>76161.7</v>
      </c>
      <c r="O29" s="13">
        <f>57466.5+2528.1+2422.6</f>
        <v>62417.2</v>
      </c>
      <c r="P29" s="30">
        <f>6867+61699.7+2247.3+5.4</f>
        <v>70819.399999999994</v>
      </c>
      <c r="Q29" s="30">
        <f>4617+61699.7+2247.3+5.4</f>
        <v>68569.399999999994</v>
      </c>
      <c r="R29" s="54">
        <f t="shared" si="1"/>
        <v>543266.36080000002</v>
      </c>
      <c r="S29" s="94">
        <f>169467.3-21500+2247.3+4.8+5.4</f>
        <v>150224.79999999996</v>
      </c>
      <c r="T29" s="10">
        <f>S29-N27</f>
        <v>-70.000000000029104</v>
      </c>
      <c r="U29" s="76"/>
    </row>
    <row r="30" spans="1:21" ht="20.25" hidden="1">
      <c r="A30" s="126"/>
      <c r="B30" s="174"/>
      <c r="C30" s="72" t="s">
        <v>9</v>
      </c>
      <c r="D30" s="31">
        <v>66163.199999999997</v>
      </c>
      <c r="E30" s="95">
        <f>67419.9+110.6</f>
        <v>67530.5</v>
      </c>
      <c r="F30" s="95">
        <f>70586.3+110.6</f>
        <v>70696.900000000009</v>
      </c>
      <c r="G30" s="91">
        <v>80823.60527</v>
      </c>
      <c r="H30" s="67">
        <f t="shared" si="3"/>
        <v>10126.705269999991</v>
      </c>
      <c r="I30" s="92">
        <f>(30043972.59+8217680.17+53452.39+18535009.28+2417200+9444.03+73764.08+692000+811850)/1000</f>
        <v>60854.372539999997</v>
      </c>
      <c r="J30" s="96">
        <v>60288.557999999997</v>
      </c>
      <c r="K30" s="9"/>
      <c r="L30" s="9">
        <f>59738.8+1307.6+425.1</f>
        <v>61471.5</v>
      </c>
      <c r="M30" s="31"/>
      <c r="N30" s="31">
        <f>95055.3-21500+503+4.8+70</f>
        <v>74133.100000000006</v>
      </c>
      <c r="O30" s="31"/>
      <c r="P30" s="31">
        <f>82511.7-14000+4.8</f>
        <v>68516.5</v>
      </c>
      <c r="Q30" s="31">
        <f>83777.3-13240.6+4.8</f>
        <v>70541.5</v>
      </c>
      <c r="R30" s="54">
        <f t="shared" si="1"/>
        <v>542792.33581000008</v>
      </c>
      <c r="S30" s="37">
        <f>17902+971.7</f>
        <v>18873.7</v>
      </c>
      <c r="T30" s="9"/>
      <c r="U30" s="76"/>
    </row>
    <row r="31" spans="1:21" ht="40.5" hidden="1">
      <c r="A31" s="127"/>
      <c r="B31" s="175"/>
      <c r="C31" s="72" t="s">
        <v>4</v>
      </c>
      <c r="D31" s="20">
        <v>0</v>
      </c>
      <c r="E31" s="79">
        <v>0</v>
      </c>
      <c r="F31" s="79">
        <v>0</v>
      </c>
      <c r="G31" s="91">
        <v>0</v>
      </c>
      <c r="H31" s="67">
        <f t="shared" si="3"/>
        <v>0</v>
      </c>
      <c r="I31" s="74">
        <v>0</v>
      </c>
      <c r="J31" s="7"/>
      <c r="K31" s="7"/>
      <c r="L31" s="7">
        <v>0</v>
      </c>
      <c r="M31" s="7"/>
      <c r="N31" s="7">
        <v>0</v>
      </c>
      <c r="O31" s="7"/>
      <c r="P31" s="7">
        <v>0</v>
      </c>
      <c r="Q31" s="7">
        <v>0</v>
      </c>
      <c r="R31" s="54">
        <f t="shared" si="1"/>
        <v>0</v>
      </c>
      <c r="U31" s="76"/>
    </row>
    <row r="32" spans="1:21" s="70" customFormat="1" ht="20.25" hidden="1">
      <c r="A32" s="82" t="s">
        <v>14</v>
      </c>
      <c r="B32" s="176" t="s">
        <v>16</v>
      </c>
      <c r="C32" s="63" t="s">
        <v>6</v>
      </c>
      <c r="D32" s="19">
        <f>D33+D34+D35+D36</f>
        <v>100409.5</v>
      </c>
      <c r="E32" s="65">
        <f>E33+E34+E35+E36</f>
        <v>87970.8</v>
      </c>
      <c r="F32" s="65">
        <f>F33+F34+F35+F36</f>
        <v>104038.1</v>
      </c>
      <c r="G32" s="66">
        <f>G33+G34+G35+G36+0.001</f>
        <v>109976.05824</v>
      </c>
      <c r="H32" s="67">
        <f t="shared" si="3"/>
        <v>5937.9582399999927</v>
      </c>
      <c r="I32" s="68">
        <f>I33+I34+I35+I36</f>
        <v>108170.78227</v>
      </c>
      <c r="J32" s="97">
        <f>J33+J34+J35+J36</f>
        <v>109479.989</v>
      </c>
      <c r="K32" s="6"/>
      <c r="L32" s="6">
        <f>L33+L34+L35+L36</f>
        <v>105944.9</v>
      </c>
      <c r="M32" s="6"/>
      <c r="N32" s="6">
        <f>N33+N34+N35+N36</f>
        <v>95201.3</v>
      </c>
      <c r="O32" s="6"/>
      <c r="P32" s="6">
        <f>P33+P34+P35+P36</f>
        <v>90711</v>
      </c>
      <c r="Q32" s="6">
        <f>Q33+Q34+Q35+Q36</f>
        <v>91086</v>
      </c>
      <c r="R32" s="54">
        <f t="shared" si="1"/>
        <v>810979.52951000002</v>
      </c>
      <c r="S32" s="85">
        <f>D32+D62</f>
        <v>119094</v>
      </c>
      <c r="T32" s="70">
        <f>111152.5+162-72</f>
        <v>111242.5</v>
      </c>
      <c r="U32" s="86">
        <f>S32-T32</f>
        <v>7851.5</v>
      </c>
    </row>
    <row r="33" spans="1:21" ht="25.5" hidden="1" customHeight="1">
      <c r="A33" s="126"/>
      <c r="B33" s="177"/>
      <c r="C33" s="72" t="s">
        <v>2</v>
      </c>
      <c r="D33" s="20">
        <v>1606.2</v>
      </c>
      <c r="E33" s="11">
        <v>0</v>
      </c>
      <c r="F33" s="11">
        <v>0</v>
      </c>
      <c r="G33" s="73">
        <v>0</v>
      </c>
      <c r="H33" s="67">
        <f t="shared" si="3"/>
        <v>0</v>
      </c>
      <c r="I33" s="74">
        <v>0</v>
      </c>
      <c r="J33" s="7"/>
      <c r="K33" s="7"/>
      <c r="L33" s="7">
        <v>0</v>
      </c>
      <c r="M33" s="7"/>
      <c r="N33" s="7">
        <v>0</v>
      </c>
      <c r="O33" s="7"/>
      <c r="P33" s="7">
        <v>0</v>
      </c>
      <c r="Q33" s="7">
        <v>0</v>
      </c>
      <c r="R33" s="54">
        <f t="shared" si="1"/>
        <v>1606.2</v>
      </c>
      <c r="U33" s="76"/>
    </row>
    <row r="34" spans="1:21" ht="20.25" hidden="1">
      <c r="A34" s="126"/>
      <c r="B34" s="177"/>
      <c r="C34" s="72" t="s">
        <v>3</v>
      </c>
      <c r="D34" s="20">
        <v>77987.600000000006</v>
      </c>
      <c r="E34" s="11">
        <v>71135</v>
      </c>
      <c r="F34" s="11">
        <v>85503</v>
      </c>
      <c r="G34" s="73">
        <v>88619.254520000002</v>
      </c>
      <c r="H34" s="67">
        <f t="shared" si="3"/>
        <v>3116.2545200000022</v>
      </c>
      <c r="I34" s="77">
        <v>91107.426640000005</v>
      </c>
      <c r="J34" s="80">
        <v>92068.173999999999</v>
      </c>
      <c r="K34" s="7"/>
      <c r="L34" s="7">
        <v>86324.7</v>
      </c>
      <c r="M34" s="7"/>
      <c r="N34" s="13">
        <v>77216.5</v>
      </c>
      <c r="O34" s="7"/>
      <c r="P34" s="7">
        <v>73718</v>
      </c>
      <c r="Q34" s="7">
        <v>74093</v>
      </c>
      <c r="R34" s="54">
        <f t="shared" si="1"/>
        <v>661134.65516000008</v>
      </c>
      <c r="S34" s="37">
        <f>1323+809.6+74085</f>
        <v>76217.600000000006</v>
      </c>
      <c r="U34" s="76"/>
    </row>
    <row r="35" spans="1:21" ht="20.25" hidden="1">
      <c r="A35" s="126"/>
      <c r="B35" s="177"/>
      <c r="C35" s="72" t="s">
        <v>9</v>
      </c>
      <c r="D35" s="20">
        <v>20815.7</v>
      </c>
      <c r="E35" s="11">
        <v>16835.8</v>
      </c>
      <c r="F35" s="11">
        <v>18535.099999999999</v>
      </c>
      <c r="G35" s="73">
        <v>21356.80272</v>
      </c>
      <c r="H35" s="67">
        <f t="shared" si="3"/>
        <v>2821.7027200000011</v>
      </c>
      <c r="I35" s="77">
        <v>17063.355629999998</v>
      </c>
      <c r="J35" s="80">
        <v>17411.814999999999</v>
      </c>
      <c r="K35" s="7"/>
      <c r="L35" s="7">
        <v>19620.2</v>
      </c>
      <c r="M35" s="7"/>
      <c r="N35" s="7">
        <v>17984.8</v>
      </c>
      <c r="O35" s="7"/>
      <c r="P35" s="7">
        <v>16993</v>
      </c>
      <c r="Q35" s="7">
        <v>16993</v>
      </c>
      <c r="R35" s="54">
        <f t="shared" si="1"/>
        <v>148238.67335</v>
      </c>
      <c r="S35" s="37">
        <f>17902+971.7</f>
        <v>18873.7</v>
      </c>
      <c r="U35" s="76"/>
    </row>
    <row r="36" spans="1:21" ht="40.5" hidden="1">
      <c r="A36" s="127"/>
      <c r="B36" s="178"/>
      <c r="C36" s="72" t="s">
        <v>4</v>
      </c>
      <c r="D36" s="20">
        <v>0</v>
      </c>
      <c r="E36" s="11">
        <v>0</v>
      </c>
      <c r="F36" s="11">
        <v>0</v>
      </c>
      <c r="G36" s="73">
        <v>0</v>
      </c>
      <c r="H36" s="67">
        <f t="shared" si="3"/>
        <v>0</v>
      </c>
      <c r="I36" s="74">
        <v>0</v>
      </c>
      <c r="J36" s="13"/>
      <c r="K36" s="13"/>
      <c r="L36" s="7">
        <v>0</v>
      </c>
      <c r="M36" s="7"/>
      <c r="N36" s="7">
        <v>0</v>
      </c>
      <c r="O36" s="7"/>
      <c r="P36" s="7">
        <v>0</v>
      </c>
      <c r="Q36" s="7">
        <v>0</v>
      </c>
      <c r="R36" s="54">
        <f t="shared" si="1"/>
        <v>0</v>
      </c>
      <c r="U36" s="76"/>
    </row>
    <row r="37" spans="1:21" s="70" customFormat="1" ht="20.25" hidden="1">
      <c r="A37" s="173" t="s">
        <v>14</v>
      </c>
      <c r="B37" s="174" t="s">
        <v>30</v>
      </c>
      <c r="C37" s="63" t="s">
        <v>6</v>
      </c>
      <c r="D37" s="19">
        <f>D38+D39+D40+D41</f>
        <v>0</v>
      </c>
      <c r="E37" s="65">
        <f>E38+E39+E40+E41</f>
        <v>0</v>
      </c>
      <c r="F37" s="65">
        <f>F38+F39+F40+F41</f>
        <v>0</v>
      </c>
      <c r="G37" s="66">
        <f>G38+G39+G40+G41</f>
        <v>0</v>
      </c>
      <c r="H37" s="67">
        <f>G37-F37</f>
        <v>0</v>
      </c>
      <c r="I37" s="68">
        <f>I38+I39+I40+I41</f>
        <v>428.95591000000002</v>
      </c>
      <c r="J37" s="69">
        <f>J38+J39+J40+J41</f>
        <v>463.97300000000001</v>
      </c>
      <c r="K37" s="18"/>
      <c r="L37" s="6">
        <f>L38+L39+L40+L41</f>
        <v>99.1</v>
      </c>
      <c r="M37" s="6"/>
      <c r="N37" s="6">
        <f>N38+N39+N40+N41</f>
        <v>100</v>
      </c>
      <c r="O37" s="6"/>
      <c r="P37" s="6">
        <f>P38+P39+P40+P41</f>
        <v>100</v>
      </c>
      <c r="Q37" s="6">
        <f>Q38+Q39+Q40+Q41</f>
        <v>100</v>
      </c>
      <c r="R37" s="54">
        <f t="shared" si="1"/>
        <v>1292.02891</v>
      </c>
      <c r="S37" s="98">
        <f>I32+I62+92+7886</f>
        <v>139819.39085</v>
      </c>
      <c r="U37" s="71"/>
    </row>
    <row r="38" spans="1:21" ht="21.75" hidden="1" customHeight="1">
      <c r="A38" s="174"/>
      <c r="B38" s="174"/>
      <c r="C38" s="72" t="s">
        <v>2</v>
      </c>
      <c r="D38" s="20">
        <v>0</v>
      </c>
      <c r="E38" s="11">
        <v>0</v>
      </c>
      <c r="F38" s="11">
        <v>0</v>
      </c>
      <c r="G38" s="73">
        <v>0</v>
      </c>
      <c r="H38" s="67">
        <f>G38-F38</f>
        <v>0</v>
      </c>
      <c r="I38" s="74">
        <v>0</v>
      </c>
      <c r="J38" s="11">
        <v>0</v>
      </c>
      <c r="K38" s="11"/>
      <c r="L38" s="11">
        <v>0</v>
      </c>
      <c r="M38" s="11"/>
      <c r="N38" s="11">
        <v>0</v>
      </c>
      <c r="O38" s="11"/>
      <c r="P38" s="11">
        <v>0</v>
      </c>
      <c r="Q38" s="11">
        <v>0</v>
      </c>
      <c r="R38" s="54">
        <f t="shared" si="1"/>
        <v>0</v>
      </c>
      <c r="S38" s="99">
        <f>127761.7</f>
        <v>127761.7</v>
      </c>
      <c r="U38" s="76"/>
    </row>
    <row r="39" spans="1:21" ht="20.25" hidden="1">
      <c r="A39" s="174"/>
      <c r="B39" s="174"/>
      <c r="C39" s="72" t="s">
        <v>3</v>
      </c>
      <c r="D39" s="20">
        <v>0</v>
      </c>
      <c r="E39" s="11"/>
      <c r="F39" s="11"/>
      <c r="G39" s="73">
        <v>0</v>
      </c>
      <c r="H39" s="67">
        <f>G39-F39</f>
        <v>0</v>
      </c>
      <c r="I39" s="74">
        <v>0</v>
      </c>
      <c r="J39" s="11">
        <v>0</v>
      </c>
      <c r="K39" s="11"/>
      <c r="L39" s="11">
        <v>0</v>
      </c>
      <c r="M39" s="11"/>
      <c r="N39" s="11">
        <v>0</v>
      </c>
      <c r="O39" s="11"/>
      <c r="P39" s="11">
        <v>0</v>
      </c>
      <c r="Q39" s="11">
        <v>0</v>
      </c>
      <c r="R39" s="54">
        <f t="shared" si="1"/>
        <v>0</v>
      </c>
      <c r="S39" s="100">
        <f>S38-S37</f>
        <v>-12057.690849999999</v>
      </c>
      <c r="U39" s="76"/>
    </row>
    <row r="40" spans="1:21" ht="20.25" hidden="1">
      <c r="A40" s="174"/>
      <c r="B40" s="174"/>
      <c r="C40" s="72" t="s">
        <v>9</v>
      </c>
      <c r="D40" s="20">
        <v>0</v>
      </c>
      <c r="E40" s="11"/>
      <c r="F40" s="11"/>
      <c r="G40" s="73">
        <v>0</v>
      </c>
      <c r="H40" s="67">
        <f>G40-F40</f>
        <v>0</v>
      </c>
      <c r="I40" s="101">
        <v>428.95591000000002</v>
      </c>
      <c r="J40" s="102">
        <v>463.97300000000001</v>
      </c>
      <c r="K40" s="11"/>
      <c r="L40" s="11">
        <v>99.1</v>
      </c>
      <c r="M40" s="11"/>
      <c r="N40" s="11">
        <v>100</v>
      </c>
      <c r="O40" s="11"/>
      <c r="P40" s="11">
        <v>100</v>
      </c>
      <c r="Q40" s="11">
        <v>100</v>
      </c>
      <c r="R40" s="54">
        <f t="shared" si="1"/>
        <v>1292.02891</v>
      </c>
      <c r="U40" s="76"/>
    </row>
    <row r="41" spans="1:21" ht="20.25" hidden="1">
      <c r="A41" s="174"/>
      <c r="B41" s="175"/>
      <c r="C41" s="103" t="s">
        <v>4</v>
      </c>
      <c r="D41" s="20">
        <v>0</v>
      </c>
      <c r="E41" s="11">
        <v>0</v>
      </c>
      <c r="F41" s="11">
        <v>0</v>
      </c>
      <c r="G41" s="73">
        <v>0</v>
      </c>
      <c r="H41" s="67">
        <f>G41-F41</f>
        <v>0</v>
      </c>
      <c r="I41" s="74">
        <v>0</v>
      </c>
      <c r="J41" s="11">
        <v>0</v>
      </c>
      <c r="K41" s="11"/>
      <c r="L41" s="7">
        <v>0</v>
      </c>
      <c r="M41" s="7"/>
      <c r="N41" s="7">
        <v>0</v>
      </c>
      <c r="O41" s="7"/>
      <c r="P41" s="7">
        <v>0</v>
      </c>
      <c r="Q41" s="7">
        <v>0</v>
      </c>
      <c r="R41" s="54">
        <f t="shared" si="1"/>
        <v>0</v>
      </c>
      <c r="U41" s="76"/>
    </row>
    <row r="42" spans="1:21" s="70" customFormat="1" ht="20.25" hidden="1">
      <c r="A42" s="173" t="s">
        <v>14</v>
      </c>
      <c r="B42" s="174" t="s">
        <v>15</v>
      </c>
      <c r="C42" s="63" t="s">
        <v>6</v>
      </c>
      <c r="D42" s="19">
        <f>D43+D44+D45+D46</f>
        <v>1421.7</v>
      </c>
      <c r="E42" s="65">
        <f>E43+E44+E45+E46</f>
        <v>447.7</v>
      </c>
      <c r="F42" s="65">
        <f>F43+F44+F45+F46</f>
        <v>1993.2</v>
      </c>
      <c r="G42" s="66">
        <f>G43+G44+G45+G46</f>
        <v>1984.8144400000001</v>
      </c>
      <c r="H42" s="67">
        <f t="shared" si="3"/>
        <v>-8.3855599999999413</v>
      </c>
      <c r="I42" s="68">
        <f>I43+I44+I45+I46</f>
        <v>1170.1449</v>
      </c>
      <c r="J42" s="69">
        <f>J43+J44+J45+J46</f>
        <v>1017.0940000000001</v>
      </c>
      <c r="K42" s="18"/>
      <c r="L42" s="12">
        <f>L43+L44+L45+L46</f>
        <v>1016.5</v>
      </c>
      <c r="M42" s="12"/>
      <c r="N42" s="128">
        <f>N43+N44+N45+N46</f>
        <v>1116.4000000000001</v>
      </c>
      <c r="O42" s="128"/>
      <c r="P42" s="128">
        <f>P43+P44+P45+P46</f>
        <v>1116.4000000000001</v>
      </c>
      <c r="Q42" s="128">
        <f>Q43+Q44+Q45+Q46</f>
        <v>1116.4000000000001</v>
      </c>
      <c r="R42" s="129">
        <f t="shared" si="1"/>
        <v>9959.45334</v>
      </c>
      <c r="U42" s="71"/>
    </row>
    <row r="43" spans="1:21" ht="21.75" hidden="1" customHeight="1">
      <c r="A43" s="174"/>
      <c r="B43" s="174"/>
      <c r="C43" s="72" t="s">
        <v>2</v>
      </c>
      <c r="D43" s="20">
        <v>0</v>
      </c>
      <c r="E43" s="11">
        <v>0</v>
      </c>
      <c r="F43" s="11">
        <v>0</v>
      </c>
      <c r="G43" s="73">
        <v>0</v>
      </c>
      <c r="H43" s="67">
        <f t="shared" si="3"/>
        <v>0</v>
      </c>
      <c r="I43" s="74">
        <v>0</v>
      </c>
      <c r="J43" s="13"/>
      <c r="K43" s="13"/>
      <c r="L43" s="7">
        <v>0</v>
      </c>
      <c r="M43" s="7"/>
      <c r="N43" s="130">
        <v>0</v>
      </c>
      <c r="O43" s="130"/>
      <c r="P43" s="130">
        <v>0</v>
      </c>
      <c r="Q43" s="130">
        <v>0</v>
      </c>
      <c r="R43" s="129">
        <f t="shared" si="1"/>
        <v>0</v>
      </c>
      <c r="U43" s="76"/>
    </row>
    <row r="44" spans="1:21" ht="20.25" hidden="1">
      <c r="A44" s="174"/>
      <c r="B44" s="174"/>
      <c r="C44" s="72" t="s">
        <v>3</v>
      </c>
      <c r="D44" s="20">
        <v>1006.2</v>
      </c>
      <c r="E44" s="11">
        <v>0</v>
      </c>
      <c r="F44" s="11">
        <v>955.3</v>
      </c>
      <c r="G44" s="73">
        <v>954.64300000000003</v>
      </c>
      <c r="H44" s="67">
        <f t="shared" si="3"/>
        <v>-0.65699999999992542</v>
      </c>
      <c r="I44" s="77">
        <v>698.32732999999996</v>
      </c>
      <c r="J44" s="75">
        <v>600.51400000000001</v>
      </c>
      <c r="K44" s="13"/>
      <c r="L44" s="13">
        <v>600.4</v>
      </c>
      <c r="M44" s="30">
        <v>602.64</v>
      </c>
      <c r="N44" s="131">
        <v>690.1</v>
      </c>
      <c r="O44" s="131">
        <v>602.6</v>
      </c>
      <c r="P44" s="131">
        <v>690.1</v>
      </c>
      <c r="Q44" s="131">
        <v>690.1</v>
      </c>
      <c r="R44" s="129">
        <f t="shared" si="1"/>
        <v>5930.3843300000008</v>
      </c>
      <c r="U44" s="76"/>
    </row>
    <row r="45" spans="1:21" ht="20.25" hidden="1">
      <c r="A45" s="174"/>
      <c r="B45" s="174"/>
      <c r="C45" s="72" t="s">
        <v>9</v>
      </c>
      <c r="D45" s="20">
        <v>415.5</v>
      </c>
      <c r="E45" s="11">
        <v>447.7</v>
      </c>
      <c r="F45" s="11">
        <v>1037.9000000000001</v>
      </c>
      <c r="G45" s="73">
        <v>1030.1714400000001</v>
      </c>
      <c r="H45" s="67">
        <f t="shared" si="3"/>
        <v>-7.7285600000000159</v>
      </c>
      <c r="I45" s="77">
        <v>471.81756999999999</v>
      </c>
      <c r="J45" s="75">
        <v>416.58</v>
      </c>
      <c r="K45" s="13"/>
      <c r="L45" s="13">
        <v>416.1</v>
      </c>
      <c r="M45" s="13"/>
      <c r="N45" s="132">
        <v>426.3</v>
      </c>
      <c r="O45" s="132"/>
      <c r="P45" s="132">
        <v>426.3</v>
      </c>
      <c r="Q45" s="132">
        <v>426.3</v>
      </c>
      <c r="R45" s="129">
        <f t="shared" si="1"/>
        <v>4029.0690100000006</v>
      </c>
      <c r="U45" s="76"/>
    </row>
    <row r="46" spans="1:21" ht="20.25" hidden="1">
      <c r="A46" s="174"/>
      <c r="B46" s="175"/>
      <c r="C46" s="103" t="s">
        <v>4</v>
      </c>
      <c r="D46" s="20">
        <v>0</v>
      </c>
      <c r="E46" s="11">
        <v>0</v>
      </c>
      <c r="F46" s="11">
        <v>0</v>
      </c>
      <c r="G46" s="73">
        <v>0</v>
      </c>
      <c r="H46" s="67">
        <f t="shared" si="3"/>
        <v>0</v>
      </c>
      <c r="I46" s="74">
        <v>0</v>
      </c>
      <c r="J46" s="13"/>
      <c r="K46" s="13"/>
      <c r="L46" s="7">
        <v>0</v>
      </c>
      <c r="M46" s="7"/>
      <c r="N46" s="7">
        <v>0</v>
      </c>
      <c r="O46" s="7"/>
      <c r="P46" s="7">
        <v>0</v>
      </c>
      <c r="Q46" s="7">
        <v>0</v>
      </c>
      <c r="R46" s="54">
        <f t="shared" si="1"/>
        <v>0</v>
      </c>
      <c r="U46" s="76"/>
    </row>
    <row r="47" spans="1:21" s="107" customFormat="1" ht="20.25" hidden="1">
      <c r="A47" s="179" t="s">
        <v>14</v>
      </c>
      <c r="B47" s="180" t="s">
        <v>20</v>
      </c>
      <c r="C47" s="104" t="s">
        <v>6</v>
      </c>
      <c r="D47" s="19">
        <f>D48+D49+D50+D51</f>
        <v>10467.299999999999</v>
      </c>
      <c r="E47" s="105">
        <f>E48+E49+E50+E51</f>
        <v>0</v>
      </c>
      <c r="F47" s="105">
        <f>F48+F49+F50+F51</f>
        <v>0</v>
      </c>
      <c r="G47" s="106">
        <f>G48+G49+G50+G51</f>
        <v>0</v>
      </c>
      <c r="H47" s="67">
        <f t="shared" si="3"/>
        <v>0</v>
      </c>
      <c r="I47" s="68">
        <f>I48+I49+I50+I51</f>
        <v>0</v>
      </c>
      <c r="J47" s="14">
        <f>J48+J49+J50+J51</f>
        <v>0</v>
      </c>
      <c r="K47" s="14"/>
      <c r="L47" s="14">
        <f>L48+L49+L50+L51</f>
        <v>0</v>
      </c>
      <c r="M47" s="14"/>
      <c r="N47" s="14">
        <f>N48+N49+N50+N51</f>
        <v>0</v>
      </c>
      <c r="O47" s="14"/>
      <c r="P47" s="14">
        <f>P48+P49+P50+P51</f>
        <v>0</v>
      </c>
      <c r="Q47" s="14">
        <f>Q48+Q49+Q50+Q51</f>
        <v>0</v>
      </c>
      <c r="R47" s="54">
        <f t="shared" si="1"/>
        <v>10467.299999999999</v>
      </c>
      <c r="U47" s="108"/>
    </row>
    <row r="48" spans="1:21" s="110" customFormat="1" ht="20.25" hidden="1">
      <c r="A48" s="180"/>
      <c r="B48" s="180"/>
      <c r="C48" s="109" t="s">
        <v>2</v>
      </c>
      <c r="D48" s="20">
        <v>0</v>
      </c>
      <c r="E48" s="79">
        <v>0</v>
      </c>
      <c r="F48" s="79">
        <v>0</v>
      </c>
      <c r="G48" s="91">
        <v>0</v>
      </c>
      <c r="H48" s="67">
        <f t="shared" si="3"/>
        <v>0</v>
      </c>
      <c r="I48" s="74">
        <v>0</v>
      </c>
      <c r="J48" s="7">
        <v>0</v>
      </c>
      <c r="K48" s="7"/>
      <c r="L48" s="7">
        <v>0</v>
      </c>
      <c r="M48" s="7"/>
      <c r="N48" s="7">
        <v>0</v>
      </c>
      <c r="O48" s="7"/>
      <c r="P48" s="7">
        <v>0</v>
      </c>
      <c r="Q48" s="7">
        <v>0</v>
      </c>
      <c r="R48" s="54">
        <f t="shared" si="1"/>
        <v>0</v>
      </c>
      <c r="U48" s="111"/>
    </row>
    <row r="49" spans="1:21" s="110" customFormat="1" ht="20.25" hidden="1">
      <c r="A49" s="180"/>
      <c r="B49" s="180"/>
      <c r="C49" s="109" t="s">
        <v>3</v>
      </c>
      <c r="D49" s="20">
        <v>0</v>
      </c>
      <c r="E49" s="79">
        <v>0</v>
      </c>
      <c r="F49" s="79">
        <v>0</v>
      </c>
      <c r="G49" s="91">
        <v>0</v>
      </c>
      <c r="H49" s="67">
        <f t="shared" si="3"/>
        <v>0</v>
      </c>
      <c r="I49" s="74">
        <v>0</v>
      </c>
      <c r="J49" s="7">
        <v>0</v>
      </c>
      <c r="K49" s="7"/>
      <c r="L49" s="7">
        <v>0</v>
      </c>
      <c r="M49" s="7"/>
      <c r="N49" s="7">
        <v>0</v>
      </c>
      <c r="O49" s="7"/>
      <c r="P49" s="7">
        <v>0</v>
      </c>
      <c r="Q49" s="7">
        <v>0</v>
      </c>
      <c r="R49" s="54">
        <f t="shared" si="1"/>
        <v>0</v>
      </c>
      <c r="U49" s="111"/>
    </row>
    <row r="50" spans="1:21" s="110" customFormat="1" ht="20.25" hidden="1">
      <c r="A50" s="180"/>
      <c r="B50" s="180"/>
      <c r="C50" s="109" t="s">
        <v>9</v>
      </c>
      <c r="D50" s="20">
        <v>10467.299999999999</v>
      </c>
      <c r="E50" s="11">
        <v>0</v>
      </c>
      <c r="F50" s="11">
        <v>0</v>
      </c>
      <c r="G50" s="73">
        <v>0</v>
      </c>
      <c r="H50" s="67">
        <f t="shared" si="3"/>
        <v>0</v>
      </c>
      <c r="I50" s="74">
        <v>0</v>
      </c>
      <c r="J50" s="112">
        <v>0</v>
      </c>
      <c r="K50" s="112"/>
      <c r="L50" s="15">
        <v>0</v>
      </c>
      <c r="M50" s="15"/>
      <c r="N50" s="15">
        <v>0</v>
      </c>
      <c r="O50" s="15"/>
      <c r="P50" s="15">
        <f>N50</f>
        <v>0</v>
      </c>
      <c r="Q50" s="15">
        <f>O50</f>
        <v>0</v>
      </c>
      <c r="R50" s="54">
        <f t="shared" si="1"/>
        <v>10467.299999999999</v>
      </c>
      <c r="U50" s="111"/>
    </row>
    <row r="51" spans="1:21" s="110" customFormat="1" ht="20.25" hidden="1">
      <c r="A51" s="180"/>
      <c r="B51" s="183"/>
      <c r="C51" s="113" t="s">
        <v>4</v>
      </c>
      <c r="D51" s="20">
        <v>0</v>
      </c>
      <c r="E51" s="79">
        <v>0</v>
      </c>
      <c r="F51" s="79">
        <v>0</v>
      </c>
      <c r="G51" s="91">
        <v>0</v>
      </c>
      <c r="H51" s="67">
        <f t="shared" si="3"/>
        <v>0</v>
      </c>
      <c r="I51" s="74">
        <v>0</v>
      </c>
      <c r="J51" s="7">
        <v>0</v>
      </c>
      <c r="K51" s="7"/>
      <c r="L51" s="7">
        <v>0</v>
      </c>
      <c r="M51" s="7"/>
      <c r="N51" s="7">
        <v>0</v>
      </c>
      <c r="O51" s="7"/>
      <c r="P51" s="7">
        <v>0</v>
      </c>
      <c r="Q51" s="7">
        <v>0</v>
      </c>
      <c r="R51" s="54">
        <f t="shared" si="1"/>
        <v>0</v>
      </c>
      <c r="U51" s="111"/>
    </row>
    <row r="52" spans="1:21" s="114" customFormat="1" ht="20.25" hidden="1">
      <c r="A52" s="179" t="s">
        <v>14</v>
      </c>
      <c r="B52" s="181" t="s">
        <v>26</v>
      </c>
      <c r="C52" s="104" t="s">
        <v>6</v>
      </c>
      <c r="D52" s="19">
        <f>D53+D54+D55+D56</f>
        <v>0</v>
      </c>
      <c r="E52" s="105">
        <f>E53+E54+E55+E56</f>
        <v>0</v>
      </c>
      <c r="F52" s="105">
        <f>F53+F54+F55+F56</f>
        <v>0</v>
      </c>
      <c r="G52" s="106">
        <f>G53+G54+G55+G56</f>
        <v>4207.83043</v>
      </c>
      <c r="H52" s="67">
        <f>G52-F52</f>
        <v>4207.83043</v>
      </c>
      <c r="I52" s="68">
        <v>0</v>
      </c>
      <c r="J52" s="14">
        <f>J53+J54+J55+J56</f>
        <v>0</v>
      </c>
      <c r="K52" s="14"/>
      <c r="L52" s="14">
        <f>L53+L54+L55+L56</f>
        <v>0</v>
      </c>
      <c r="M52" s="14"/>
      <c r="N52" s="14">
        <f>N53+N54+N55+N56</f>
        <v>0</v>
      </c>
      <c r="O52" s="14"/>
      <c r="P52" s="14">
        <f>P53+P54+P55+P56</f>
        <v>0</v>
      </c>
      <c r="Q52" s="14">
        <f>Q53+Q54+Q55+Q56</f>
        <v>0</v>
      </c>
      <c r="R52" s="54">
        <f t="shared" si="1"/>
        <v>4207.83043</v>
      </c>
      <c r="U52" s="115"/>
    </row>
    <row r="53" spans="1:21" s="116" customFormat="1" ht="20.25" hidden="1">
      <c r="A53" s="180"/>
      <c r="B53" s="181"/>
      <c r="C53" s="109" t="s">
        <v>2</v>
      </c>
      <c r="D53" s="20">
        <v>0</v>
      </c>
      <c r="E53" s="79">
        <v>0</v>
      </c>
      <c r="F53" s="79">
        <v>0</v>
      </c>
      <c r="G53" s="91">
        <v>0</v>
      </c>
      <c r="H53" s="67">
        <f>G53-F53</f>
        <v>0</v>
      </c>
      <c r="I53" s="74">
        <v>0</v>
      </c>
      <c r="J53" s="7">
        <v>0</v>
      </c>
      <c r="K53" s="7"/>
      <c r="L53" s="7">
        <v>0</v>
      </c>
      <c r="M53" s="7"/>
      <c r="N53" s="7">
        <v>0</v>
      </c>
      <c r="O53" s="7"/>
      <c r="P53" s="7">
        <v>0</v>
      </c>
      <c r="Q53" s="7">
        <v>0</v>
      </c>
      <c r="R53" s="54">
        <f t="shared" si="1"/>
        <v>0</v>
      </c>
      <c r="U53" s="117"/>
    </row>
    <row r="54" spans="1:21" s="116" customFormat="1" ht="20.25" hidden="1">
      <c r="A54" s="180"/>
      <c r="B54" s="181"/>
      <c r="C54" s="109" t="s">
        <v>3</v>
      </c>
      <c r="D54" s="20">
        <v>0</v>
      </c>
      <c r="E54" s="79">
        <v>0</v>
      </c>
      <c r="F54" s="79">
        <v>0</v>
      </c>
      <c r="G54" s="91">
        <v>3380.84834</v>
      </c>
      <c r="H54" s="67">
        <f>G54-F54</f>
        <v>3380.84834</v>
      </c>
      <c r="I54" s="74">
        <v>0</v>
      </c>
      <c r="J54" s="13">
        <v>0</v>
      </c>
      <c r="K54" s="13"/>
      <c r="L54" s="7">
        <v>0</v>
      </c>
      <c r="M54" s="7"/>
      <c r="N54" s="7">
        <v>0</v>
      </c>
      <c r="O54" s="7"/>
      <c r="P54" s="7">
        <v>0</v>
      </c>
      <c r="Q54" s="7">
        <v>0</v>
      </c>
      <c r="R54" s="54">
        <f t="shared" si="1"/>
        <v>3380.84834</v>
      </c>
      <c r="U54" s="117"/>
    </row>
    <row r="55" spans="1:21" s="116" customFormat="1" ht="20.25" hidden="1">
      <c r="A55" s="180"/>
      <c r="B55" s="181"/>
      <c r="C55" s="109" t="s">
        <v>9</v>
      </c>
      <c r="D55" s="20">
        <v>0</v>
      </c>
      <c r="E55" s="79"/>
      <c r="F55" s="79"/>
      <c r="G55" s="91">
        <v>826.98208999999997</v>
      </c>
      <c r="H55" s="67">
        <f>G55-F55</f>
        <v>826.98208999999997</v>
      </c>
      <c r="I55" s="74">
        <v>0</v>
      </c>
      <c r="J55" s="13">
        <v>0</v>
      </c>
      <c r="K55" s="13"/>
      <c r="L55" s="7">
        <v>0</v>
      </c>
      <c r="M55" s="7"/>
      <c r="N55" s="7">
        <v>0</v>
      </c>
      <c r="O55" s="7"/>
      <c r="P55" s="7">
        <v>0</v>
      </c>
      <c r="Q55" s="7">
        <v>0</v>
      </c>
      <c r="R55" s="54">
        <f t="shared" si="1"/>
        <v>826.98208999999997</v>
      </c>
      <c r="U55" s="117"/>
    </row>
    <row r="56" spans="1:21" s="119" customFormat="1" ht="102.75" hidden="1" customHeight="1">
      <c r="A56" s="180"/>
      <c r="B56" s="182"/>
      <c r="C56" s="118" t="s">
        <v>4</v>
      </c>
      <c r="D56" s="20">
        <v>0</v>
      </c>
      <c r="E56" s="79">
        <v>0</v>
      </c>
      <c r="F56" s="79">
        <v>0</v>
      </c>
      <c r="G56" s="91">
        <v>0</v>
      </c>
      <c r="H56" s="67">
        <f>G56-F56</f>
        <v>0</v>
      </c>
      <c r="I56" s="74">
        <v>0</v>
      </c>
      <c r="J56" s="7">
        <v>0</v>
      </c>
      <c r="K56" s="7"/>
      <c r="L56" s="7">
        <v>0</v>
      </c>
      <c r="M56" s="7"/>
      <c r="N56" s="7">
        <v>0</v>
      </c>
      <c r="O56" s="7"/>
      <c r="P56" s="7">
        <v>0</v>
      </c>
      <c r="Q56" s="7">
        <v>0</v>
      </c>
      <c r="R56" s="54">
        <f t="shared" si="1"/>
        <v>0</v>
      </c>
      <c r="U56" s="120"/>
    </row>
    <row r="57" spans="1:21" s="114" customFormat="1" ht="20.25" hidden="1">
      <c r="A57" s="179" t="s">
        <v>14</v>
      </c>
      <c r="B57" s="180" t="s">
        <v>22</v>
      </c>
      <c r="C57" s="104" t="s">
        <v>6</v>
      </c>
      <c r="D57" s="19">
        <f>D58+D59+D60+D61</f>
        <v>900</v>
      </c>
      <c r="E57" s="105">
        <f>E58+E59+E60+E61</f>
        <v>8347</v>
      </c>
      <c r="F57" s="105">
        <f>F58+F59+F60+F61</f>
        <v>8347</v>
      </c>
      <c r="G57" s="106">
        <f>G58+G59+G60+G61</f>
        <v>9136.2000000000007</v>
      </c>
      <c r="H57" s="67">
        <f t="shared" si="3"/>
        <v>789.20000000000073</v>
      </c>
      <c r="I57" s="68">
        <f>I58+I59+I60+I61</f>
        <v>4300</v>
      </c>
      <c r="J57" s="14">
        <f>J58+J59+J60+J61</f>
        <v>0</v>
      </c>
      <c r="K57" s="14"/>
      <c r="L57" s="14">
        <f>L58+L59+L60+L61</f>
        <v>0</v>
      </c>
      <c r="M57" s="14"/>
      <c r="N57" s="14">
        <f>N58+N59+N60+N61</f>
        <v>0</v>
      </c>
      <c r="O57" s="14"/>
      <c r="P57" s="14">
        <f>P58+P59+P60+P61</f>
        <v>0</v>
      </c>
      <c r="Q57" s="14">
        <f>Q58+Q59+Q60+Q61</f>
        <v>0</v>
      </c>
      <c r="R57" s="54">
        <f t="shared" si="1"/>
        <v>14336.2</v>
      </c>
      <c r="U57" s="115"/>
    </row>
    <row r="58" spans="1:21" s="116" customFormat="1" ht="20.25" hidden="1">
      <c r="A58" s="180"/>
      <c r="B58" s="180"/>
      <c r="C58" s="109" t="s">
        <v>2</v>
      </c>
      <c r="D58" s="20">
        <v>0</v>
      </c>
      <c r="E58" s="79">
        <v>0</v>
      </c>
      <c r="F58" s="79">
        <v>0</v>
      </c>
      <c r="G58" s="91">
        <v>0</v>
      </c>
      <c r="H58" s="67">
        <f t="shared" si="3"/>
        <v>0</v>
      </c>
      <c r="I58" s="74">
        <v>0</v>
      </c>
      <c r="J58" s="7">
        <v>0</v>
      </c>
      <c r="K58" s="7"/>
      <c r="L58" s="7">
        <v>0</v>
      </c>
      <c r="M58" s="7"/>
      <c r="N58" s="7">
        <v>0</v>
      </c>
      <c r="O58" s="7"/>
      <c r="P58" s="7">
        <v>0</v>
      </c>
      <c r="Q58" s="7">
        <v>0</v>
      </c>
      <c r="R58" s="54">
        <f t="shared" si="1"/>
        <v>0</v>
      </c>
      <c r="U58" s="117"/>
    </row>
    <row r="59" spans="1:21" s="116" customFormat="1" ht="20.25" hidden="1">
      <c r="A59" s="180"/>
      <c r="B59" s="180"/>
      <c r="C59" s="109" t="s">
        <v>3</v>
      </c>
      <c r="D59" s="20">
        <v>0</v>
      </c>
      <c r="E59" s="79">
        <v>0</v>
      </c>
      <c r="F59" s="79">
        <v>0</v>
      </c>
      <c r="G59" s="91">
        <v>0</v>
      </c>
      <c r="H59" s="67">
        <f t="shared" si="3"/>
        <v>0</v>
      </c>
      <c r="I59" s="74">
        <v>0</v>
      </c>
      <c r="J59" s="7">
        <v>0</v>
      </c>
      <c r="K59" s="7"/>
      <c r="L59" s="7">
        <v>0</v>
      </c>
      <c r="M59" s="7"/>
      <c r="N59" s="7">
        <v>0</v>
      </c>
      <c r="O59" s="7"/>
      <c r="P59" s="7">
        <v>0</v>
      </c>
      <c r="Q59" s="7">
        <v>0</v>
      </c>
      <c r="R59" s="54">
        <f t="shared" si="1"/>
        <v>0</v>
      </c>
      <c r="U59" s="117"/>
    </row>
    <row r="60" spans="1:21" s="116" customFormat="1" ht="20.25" hidden="1">
      <c r="A60" s="180"/>
      <c r="B60" s="180"/>
      <c r="C60" s="109" t="s">
        <v>9</v>
      </c>
      <c r="D60" s="20">
        <v>900</v>
      </c>
      <c r="E60" s="79">
        <v>8347</v>
      </c>
      <c r="F60" s="79">
        <v>8347</v>
      </c>
      <c r="G60" s="91">
        <v>9136.2000000000007</v>
      </c>
      <c r="H60" s="67">
        <f t="shared" si="3"/>
        <v>789.20000000000073</v>
      </c>
      <c r="I60" s="74">
        <v>4300</v>
      </c>
      <c r="J60" s="15">
        <v>0</v>
      </c>
      <c r="K60" s="15"/>
      <c r="L60" s="15">
        <v>0</v>
      </c>
      <c r="M60" s="15"/>
      <c r="N60" s="15">
        <v>0</v>
      </c>
      <c r="O60" s="15"/>
      <c r="P60" s="15">
        <f>N60</f>
        <v>0</v>
      </c>
      <c r="Q60" s="15">
        <f>O60</f>
        <v>0</v>
      </c>
      <c r="R60" s="54">
        <f t="shared" si="1"/>
        <v>14336.2</v>
      </c>
      <c r="U60" s="117"/>
    </row>
    <row r="61" spans="1:21" s="116" customFormat="1" ht="44.25" hidden="1" customHeight="1">
      <c r="A61" s="180"/>
      <c r="B61" s="183"/>
      <c r="C61" s="118" t="s">
        <v>4</v>
      </c>
      <c r="D61" s="20">
        <v>0</v>
      </c>
      <c r="E61" s="79">
        <v>0</v>
      </c>
      <c r="F61" s="79">
        <v>0</v>
      </c>
      <c r="G61" s="91">
        <v>0</v>
      </c>
      <c r="H61" s="67">
        <f t="shared" si="3"/>
        <v>0</v>
      </c>
      <c r="I61" s="74">
        <v>0</v>
      </c>
      <c r="J61" s="7">
        <v>0</v>
      </c>
      <c r="K61" s="7"/>
      <c r="L61" s="7">
        <v>0</v>
      </c>
      <c r="M61" s="7"/>
      <c r="N61" s="7">
        <v>0</v>
      </c>
      <c r="O61" s="7"/>
      <c r="P61" s="7">
        <v>0</v>
      </c>
      <c r="Q61" s="7">
        <v>0</v>
      </c>
      <c r="R61" s="54">
        <f t="shared" si="1"/>
        <v>0</v>
      </c>
      <c r="U61" s="117"/>
    </row>
    <row r="62" spans="1:21" s="70" customFormat="1" ht="20.25" hidden="1">
      <c r="A62" s="173" t="s">
        <v>14</v>
      </c>
      <c r="B62" s="176" t="s">
        <v>17</v>
      </c>
      <c r="C62" s="63" t="s">
        <v>6</v>
      </c>
      <c r="D62" s="19">
        <f>D63+D64+D65+D66</f>
        <v>18684.5</v>
      </c>
      <c r="E62" s="65">
        <f>E63+E64+E65+E66</f>
        <v>16720</v>
      </c>
      <c r="F62" s="65">
        <f>F63+F64+F65+F66</f>
        <v>19461.2</v>
      </c>
      <c r="G62" s="66">
        <f>G63+G64+G65+G66</f>
        <v>22196.121080000001</v>
      </c>
      <c r="H62" s="67">
        <f t="shared" si="3"/>
        <v>2734.9210800000001</v>
      </c>
      <c r="I62" s="68">
        <f>I63+I64+I65+I66</f>
        <v>23670.608580000004</v>
      </c>
      <c r="J62" s="69">
        <f>J63+J64+J65+J66</f>
        <v>25008.125500000002</v>
      </c>
      <c r="K62" s="18"/>
      <c r="L62" s="6">
        <f>L63+L64+L65+L66</f>
        <v>20769.699999999997</v>
      </c>
      <c r="M62" s="6"/>
      <c r="N62" s="6">
        <f>N63+N64+N65+N66</f>
        <v>21357.8</v>
      </c>
      <c r="O62" s="6"/>
      <c r="P62" s="6">
        <f>P63+P64+P65+P66</f>
        <v>17014.900000000001</v>
      </c>
      <c r="Q62" s="6">
        <f>Q63+Q64+Q65+Q66</f>
        <v>17274.900000000001</v>
      </c>
      <c r="R62" s="54">
        <f t="shared" si="1"/>
        <v>165976.65515999999</v>
      </c>
      <c r="U62" s="71"/>
    </row>
    <row r="63" spans="1:21" ht="20.25" hidden="1">
      <c r="A63" s="174"/>
      <c r="B63" s="177"/>
      <c r="C63" s="72" t="s">
        <v>2</v>
      </c>
      <c r="D63" s="20">
        <v>0</v>
      </c>
      <c r="E63" s="11">
        <v>0</v>
      </c>
      <c r="F63" s="11">
        <v>0</v>
      </c>
      <c r="G63" s="73">
        <v>0</v>
      </c>
      <c r="H63" s="67">
        <f t="shared" si="3"/>
        <v>0</v>
      </c>
      <c r="I63" s="74">
        <v>0</v>
      </c>
      <c r="J63" s="13">
        <v>0</v>
      </c>
      <c r="K63" s="13"/>
      <c r="L63" s="7">
        <v>0</v>
      </c>
      <c r="M63" s="7"/>
      <c r="N63" s="7">
        <v>0</v>
      </c>
      <c r="O63" s="7"/>
      <c r="P63" s="7">
        <v>0</v>
      </c>
      <c r="Q63" s="7">
        <v>0</v>
      </c>
      <c r="R63" s="54">
        <f t="shared" si="1"/>
        <v>0</v>
      </c>
      <c r="U63" s="76"/>
    </row>
    <row r="64" spans="1:21" ht="20.25" hidden="1">
      <c r="A64" s="174"/>
      <c r="B64" s="177"/>
      <c r="C64" s="72" t="s">
        <v>3</v>
      </c>
      <c r="D64" s="20">
        <v>629.1</v>
      </c>
      <c r="E64" s="11">
        <v>0</v>
      </c>
      <c r="F64" s="11">
        <v>0</v>
      </c>
      <c r="G64" s="73">
        <v>0</v>
      </c>
      <c r="H64" s="67">
        <f t="shared" si="3"/>
        <v>0</v>
      </c>
      <c r="I64" s="121">
        <f>(487521.54+963478.46)/1000</f>
        <v>1451</v>
      </c>
      <c r="J64" s="122">
        <v>1156.0164</v>
      </c>
      <c r="K64" s="112"/>
      <c r="L64" s="16">
        <v>3676.6</v>
      </c>
      <c r="M64" s="15">
        <f>1570.6</f>
        <v>1570.6</v>
      </c>
      <c r="N64" s="15">
        <f>1372.8+1435.4</f>
        <v>2808.2</v>
      </c>
      <c r="O64" s="15">
        <f>1570.6</f>
        <v>1570.6</v>
      </c>
      <c r="P64" s="15">
        <v>19</v>
      </c>
      <c r="Q64" s="15">
        <v>19</v>
      </c>
      <c r="R64" s="54">
        <f t="shared" si="1"/>
        <v>9758.9163999999982</v>
      </c>
      <c r="S64" s="37">
        <f>90.7+445</f>
        <v>535.70000000000005</v>
      </c>
      <c r="U64" s="76"/>
    </row>
    <row r="65" spans="1:21" ht="20.25" hidden="1">
      <c r="A65" s="174"/>
      <c r="B65" s="177"/>
      <c r="C65" s="72" t="s">
        <v>9</v>
      </c>
      <c r="D65" s="20">
        <v>18055.400000000001</v>
      </c>
      <c r="E65" s="11">
        <f>16622+98</f>
        <v>16720</v>
      </c>
      <c r="F65" s="79">
        <f>19363.2+98</f>
        <v>19461.2</v>
      </c>
      <c r="G65" s="91">
        <v>22196.121080000001</v>
      </c>
      <c r="H65" s="67">
        <f t="shared" si="3"/>
        <v>2734.9210800000001</v>
      </c>
      <c r="I65" s="121">
        <f>(11339594.89+49716.46+63800+2812045.08+7863051.58+27746+6851.73+23268.16+33534.68)/1000</f>
        <v>22219.608580000004</v>
      </c>
      <c r="J65" s="75">
        <v>23852.109100000001</v>
      </c>
      <c r="K65" s="13"/>
      <c r="L65" s="17">
        <f>17015.1+78</f>
        <v>17093.099999999999</v>
      </c>
      <c r="M65" s="17"/>
      <c r="N65" s="17">
        <f>18537.6+1+11</f>
        <v>18549.599999999999</v>
      </c>
      <c r="O65" s="17"/>
      <c r="P65" s="17">
        <f>16994.9+1</f>
        <v>16995.900000000001</v>
      </c>
      <c r="Q65" s="17">
        <f>17254.9+1</f>
        <v>17255.900000000001</v>
      </c>
      <c r="R65" s="54">
        <f t="shared" si="1"/>
        <v>156217.73876000001</v>
      </c>
      <c r="S65" s="37">
        <f>15453.5</f>
        <v>15453.5</v>
      </c>
      <c r="U65" s="76"/>
    </row>
    <row r="66" spans="1:21" ht="40.5" hidden="1">
      <c r="A66" s="174"/>
      <c r="B66" s="178"/>
      <c r="C66" s="72" t="s">
        <v>4</v>
      </c>
      <c r="D66" s="20">
        <v>0</v>
      </c>
      <c r="E66" s="11"/>
      <c r="F66" s="11"/>
      <c r="G66" s="73">
        <v>0</v>
      </c>
      <c r="H66" s="67">
        <f t="shared" si="3"/>
        <v>0</v>
      </c>
      <c r="I66" s="74">
        <v>0</v>
      </c>
      <c r="J66" s="13"/>
      <c r="K66" s="13"/>
      <c r="L66" s="7">
        <v>0</v>
      </c>
      <c r="M66" s="7"/>
      <c r="N66" s="7">
        <v>0</v>
      </c>
      <c r="O66" s="7"/>
      <c r="P66" s="7">
        <v>0</v>
      </c>
      <c r="Q66" s="7">
        <v>0</v>
      </c>
      <c r="R66" s="54">
        <f t="shared" si="1"/>
        <v>0</v>
      </c>
      <c r="U66" s="76"/>
    </row>
    <row r="67" spans="1:21" s="70" customFormat="1" ht="20.25" hidden="1">
      <c r="A67" s="173" t="s">
        <v>14</v>
      </c>
      <c r="B67" s="176" t="s">
        <v>18</v>
      </c>
      <c r="C67" s="63" t="s">
        <v>6</v>
      </c>
      <c r="D67" s="19">
        <f>D68+D69+D70+D71</f>
        <v>13635.4</v>
      </c>
      <c r="E67" s="65">
        <f>E68+E69+E70+E71</f>
        <v>15287</v>
      </c>
      <c r="F67" s="65">
        <f>F68+F69+F70+F71</f>
        <v>12914.6</v>
      </c>
      <c r="G67" s="66">
        <f>G68+G69+G70+G71</f>
        <v>13978.31712</v>
      </c>
      <c r="H67" s="67">
        <f t="shared" si="3"/>
        <v>1063.7171199999993</v>
      </c>
      <c r="I67" s="68">
        <f>I68+I69+I70+I71</f>
        <v>14607.68079</v>
      </c>
      <c r="J67" s="69">
        <f>J68+J69+J70+J71</f>
        <v>13794.177</v>
      </c>
      <c r="K67" s="18"/>
      <c r="L67" s="18">
        <f>L68+L69+L70+L71</f>
        <v>15094.4</v>
      </c>
      <c r="M67" s="18"/>
      <c r="N67" s="18">
        <f>N68+N69+N70+N71</f>
        <v>14173.8</v>
      </c>
      <c r="O67" s="18"/>
      <c r="P67" s="6">
        <f>P68+P69+P70+P71</f>
        <v>12854.900000000001</v>
      </c>
      <c r="Q67" s="6">
        <f>Q68+Q69+Q70+Q71</f>
        <v>12854.900000000001</v>
      </c>
      <c r="R67" s="54">
        <f t="shared" si="1"/>
        <v>110993.57491</v>
      </c>
      <c r="U67" s="71"/>
    </row>
    <row r="68" spans="1:21" ht="22.5" hidden="1" customHeight="1">
      <c r="A68" s="174"/>
      <c r="B68" s="177"/>
      <c r="C68" s="72" t="s">
        <v>2</v>
      </c>
      <c r="D68" s="20">
        <v>0</v>
      </c>
      <c r="E68" s="11">
        <v>0</v>
      </c>
      <c r="F68" s="11">
        <v>0</v>
      </c>
      <c r="G68" s="73">
        <v>0</v>
      </c>
      <c r="H68" s="67">
        <f t="shared" si="3"/>
        <v>0</v>
      </c>
      <c r="I68" s="74">
        <v>0</v>
      </c>
      <c r="J68" s="13">
        <v>0</v>
      </c>
      <c r="K68" s="13"/>
      <c r="L68" s="13">
        <v>0</v>
      </c>
      <c r="M68" s="13"/>
      <c r="N68" s="13">
        <v>0</v>
      </c>
      <c r="O68" s="13"/>
      <c r="P68" s="7">
        <v>0</v>
      </c>
      <c r="Q68" s="7">
        <v>0</v>
      </c>
      <c r="R68" s="54">
        <f t="shared" si="1"/>
        <v>0</v>
      </c>
      <c r="U68" s="76"/>
    </row>
    <row r="69" spans="1:21" ht="20.25" hidden="1">
      <c r="A69" s="174"/>
      <c r="B69" s="177"/>
      <c r="C69" s="72" t="s">
        <v>3</v>
      </c>
      <c r="D69" s="20">
        <v>222.6</v>
      </c>
      <c r="E69" s="11">
        <v>3129.5</v>
      </c>
      <c r="F69" s="11">
        <v>248</v>
      </c>
      <c r="G69" s="73">
        <v>253.15391</v>
      </c>
      <c r="H69" s="67">
        <f t="shared" si="3"/>
        <v>5.1539099999999962</v>
      </c>
      <c r="I69" s="77">
        <v>905.9</v>
      </c>
      <c r="J69" s="75">
        <v>260.53500000000003</v>
      </c>
      <c r="K69" s="13"/>
      <c r="L69" s="13">
        <v>2167.6</v>
      </c>
      <c r="M69" s="13"/>
      <c r="N69" s="13">
        <v>1150.4000000000001</v>
      </c>
      <c r="O69" s="13">
        <v>370.3</v>
      </c>
      <c r="P69" s="13">
        <v>71.7</v>
      </c>
      <c r="Q69" s="13">
        <v>71.7</v>
      </c>
      <c r="R69" s="54">
        <f t="shared" si="1"/>
        <v>5103.5889100000004</v>
      </c>
      <c r="U69" s="76"/>
    </row>
    <row r="70" spans="1:21" ht="20.25" hidden="1">
      <c r="A70" s="174"/>
      <c r="B70" s="177"/>
      <c r="C70" s="72" t="s">
        <v>9</v>
      </c>
      <c r="D70" s="20">
        <v>13412.8</v>
      </c>
      <c r="E70" s="11">
        <v>12157.5</v>
      </c>
      <c r="F70" s="11">
        <v>12666.6</v>
      </c>
      <c r="G70" s="73">
        <v>13725.163210000001</v>
      </c>
      <c r="H70" s="67">
        <f t="shared" si="3"/>
        <v>1058.5632100000003</v>
      </c>
      <c r="I70" s="77">
        <v>13701.780790000001</v>
      </c>
      <c r="J70" s="75">
        <v>13533.642</v>
      </c>
      <c r="K70" s="13"/>
      <c r="L70" s="7">
        <v>12926.8</v>
      </c>
      <c r="M70" s="7"/>
      <c r="N70" s="7">
        <v>13023.4</v>
      </c>
      <c r="O70" s="7"/>
      <c r="P70" s="7">
        <v>12783.2</v>
      </c>
      <c r="Q70" s="7">
        <v>12783.2</v>
      </c>
      <c r="R70" s="54">
        <f t="shared" si="1"/>
        <v>105889.98599999999</v>
      </c>
      <c r="U70" s="76"/>
    </row>
    <row r="71" spans="1:21" ht="40.5" hidden="1">
      <c r="A71" s="175"/>
      <c r="B71" s="178"/>
      <c r="C71" s="72" t="s">
        <v>4</v>
      </c>
      <c r="D71" s="20">
        <v>0</v>
      </c>
      <c r="E71" s="11">
        <v>0</v>
      </c>
      <c r="F71" s="11">
        <v>0</v>
      </c>
      <c r="G71" s="73">
        <v>0</v>
      </c>
      <c r="H71" s="67">
        <f t="shared" si="3"/>
        <v>0</v>
      </c>
      <c r="I71" s="74">
        <v>0</v>
      </c>
      <c r="J71" s="13"/>
      <c r="K71" s="13"/>
      <c r="L71" s="7">
        <v>0</v>
      </c>
      <c r="M71" s="7"/>
      <c r="N71" s="7">
        <v>0</v>
      </c>
      <c r="O71" s="7"/>
      <c r="P71" s="7">
        <v>0</v>
      </c>
      <c r="Q71" s="7">
        <v>0</v>
      </c>
      <c r="R71" s="54">
        <f t="shared" ref="R71:R86" si="4">D71+G71+I71+J71+L71+N71+P71+Q71</f>
        <v>0</v>
      </c>
      <c r="U71" s="76"/>
    </row>
    <row r="72" spans="1:21" s="70" customFormat="1" ht="20.25" hidden="1">
      <c r="A72" s="173" t="s">
        <v>14</v>
      </c>
      <c r="B72" s="176" t="s">
        <v>28</v>
      </c>
      <c r="C72" s="63" t="s">
        <v>6</v>
      </c>
      <c r="D72" s="19">
        <f>D73+D74+D75+D76</f>
        <v>0</v>
      </c>
      <c r="E72" s="65">
        <f>E73+E74+E75+E76</f>
        <v>15287</v>
      </c>
      <c r="F72" s="65">
        <f>F73+F74+F75+F76</f>
        <v>12914.6</v>
      </c>
      <c r="G72" s="66">
        <f>G73+G74+G75+G76</f>
        <v>0</v>
      </c>
      <c r="H72" s="67">
        <f t="shared" si="3"/>
        <v>-12914.6</v>
      </c>
      <c r="I72" s="68">
        <f>I73+I74+I75+I76</f>
        <v>32952.736259999998</v>
      </c>
      <c r="J72" s="69">
        <f>J73+J74+J75+J76</f>
        <v>30932.899000000001</v>
      </c>
      <c r="K72" s="18"/>
      <c r="L72" s="6">
        <f>L73+L74+L75+L76</f>
        <v>43454.400000000001</v>
      </c>
      <c r="M72" s="6"/>
      <c r="N72" s="6">
        <f>N73+N74+N75+N76</f>
        <v>28555.8</v>
      </c>
      <c r="O72" s="6"/>
      <c r="P72" s="6">
        <f>P73+P74+P75+P76</f>
        <v>18470.900000000001</v>
      </c>
      <c r="Q72" s="6">
        <f>Q73+Q74+Q75+Q76</f>
        <v>18300.599999999999</v>
      </c>
      <c r="R72" s="54">
        <f t="shared" si="4"/>
        <v>172667.33525999999</v>
      </c>
      <c r="U72" s="71"/>
    </row>
    <row r="73" spans="1:21" ht="21.75" hidden="1" customHeight="1">
      <c r="A73" s="174"/>
      <c r="B73" s="177"/>
      <c r="C73" s="72" t="s">
        <v>2</v>
      </c>
      <c r="D73" s="11">
        <v>0</v>
      </c>
      <c r="E73" s="11">
        <v>0</v>
      </c>
      <c r="F73" s="11">
        <v>0</v>
      </c>
      <c r="G73" s="73">
        <v>0</v>
      </c>
      <c r="H73" s="67">
        <f t="shared" si="3"/>
        <v>0</v>
      </c>
      <c r="I73" s="74">
        <v>0</v>
      </c>
      <c r="J73" s="11">
        <v>0</v>
      </c>
      <c r="K73" s="11"/>
      <c r="L73" s="11">
        <v>0</v>
      </c>
      <c r="M73" s="11"/>
      <c r="N73" s="11">
        <v>0</v>
      </c>
      <c r="O73" s="11"/>
      <c r="P73" s="11">
        <v>0</v>
      </c>
      <c r="Q73" s="11">
        <v>0</v>
      </c>
      <c r="R73" s="54">
        <f t="shared" si="4"/>
        <v>0</v>
      </c>
      <c r="U73" s="76"/>
    </row>
    <row r="74" spans="1:21" ht="20.25" hidden="1">
      <c r="A74" s="174"/>
      <c r="B74" s="177"/>
      <c r="C74" s="72" t="s">
        <v>3</v>
      </c>
      <c r="D74" s="11">
        <v>0</v>
      </c>
      <c r="E74" s="11">
        <v>3129.5</v>
      </c>
      <c r="F74" s="11">
        <v>248</v>
      </c>
      <c r="G74" s="73">
        <v>0</v>
      </c>
      <c r="H74" s="67">
        <f t="shared" si="3"/>
        <v>-248</v>
      </c>
      <c r="I74" s="123">
        <v>0</v>
      </c>
      <c r="J74" s="11">
        <v>0</v>
      </c>
      <c r="K74" s="11"/>
      <c r="L74" s="11">
        <v>0</v>
      </c>
      <c r="M74" s="11"/>
      <c r="N74" s="11">
        <v>0</v>
      </c>
      <c r="O74" s="11"/>
      <c r="P74" s="11">
        <v>0</v>
      </c>
      <c r="Q74" s="11">
        <v>0</v>
      </c>
      <c r="R74" s="54">
        <f t="shared" si="4"/>
        <v>0</v>
      </c>
      <c r="U74" s="76"/>
    </row>
    <row r="75" spans="1:21" ht="20.25" hidden="1">
      <c r="A75" s="174"/>
      <c r="B75" s="177"/>
      <c r="C75" s="72" t="s">
        <v>9</v>
      </c>
      <c r="D75" s="11">
        <v>0</v>
      </c>
      <c r="E75" s="11">
        <v>12157.5</v>
      </c>
      <c r="F75" s="11">
        <v>12666.6</v>
      </c>
      <c r="G75" s="73">
        <v>0</v>
      </c>
      <c r="H75" s="67">
        <f t="shared" si="3"/>
        <v>-12666.6</v>
      </c>
      <c r="I75" s="101">
        <v>32952.736259999998</v>
      </c>
      <c r="J75" s="102">
        <v>30932.899000000001</v>
      </c>
      <c r="K75" s="11"/>
      <c r="L75" s="11">
        <v>43454.400000000001</v>
      </c>
      <c r="M75" s="11"/>
      <c r="N75" s="11">
        <v>28555.8</v>
      </c>
      <c r="O75" s="11"/>
      <c r="P75" s="11">
        <v>18470.900000000001</v>
      </c>
      <c r="Q75" s="11">
        <v>18300.599999999999</v>
      </c>
      <c r="R75" s="54">
        <f t="shared" si="4"/>
        <v>172667.33525999999</v>
      </c>
      <c r="U75" s="76"/>
    </row>
    <row r="76" spans="1:21" ht="40.5" hidden="1">
      <c r="A76" s="175"/>
      <c r="B76" s="178"/>
      <c r="C76" s="72" t="s">
        <v>4</v>
      </c>
      <c r="D76" s="11">
        <v>0</v>
      </c>
      <c r="E76" s="11">
        <v>0</v>
      </c>
      <c r="F76" s="11">
        <v>0</v>
      </c>
      <c r="G76" s="73">
        <v>0</v>
      </c>
      <c r="H76" s="67">
        <f t="shared" si="3"/>
        <v>0</v>
      </c>
      <c r="I76" s="74">
        <v>0</v>
      </c>
      <c r="J76" s="11">
        <v>0</v>
      </c>
      <c r="K76" s="11"/>
      <c r="L76" s="11">
        <v>0</v>
      </c>
      <c r="M76" s="11"/>
      <c r="N76" s="11">
        <v>0</v>
      </c>
      <c r="O76" s="11"/>
      <c r="P76" s="11">
        <v>0</v>
      </c>
      <c r="Q76" s="11">
        <v>0</v>
      </c>
      <c r="R76" s="54">
        <f t="shared" si="4"/>
        <v>0</v>
      </c>
      <c r="U76" s="76"/>
    </row>
    <row r="77" spans="1:21" s="70" customFormat="1" ht="20.25" hidden="1">
      <c r="A77" s="173" t="s">
        <v>14</v>
      </c>
      <c r="B77" s="176" t="s">
        <v>29</v>
      </c>
      <c r="C77" s="63" t="s">
        <v>6</v>
      </c>
      <c r="D77" s="19">
        <f>D78+D79+D80+D81</f>
        <v>0</v>
      </c>
      <c r="E77" s="65">
        <f>E78+E79+E80+E81</f>
        <v>15287</v>
      </c>
      <c r="F77" s="65">
        <f>F78+F79+F80+F81</f>
        <v>12914.6</v>
      </c>
      <c r="G77" s="66">
        <f>G78+G79+G80+G81</f>
        <v>0</v>
      </c>
      <c r="H77" s="67">
        <f t="shared" si="3"/>
        <v>-12914.6</v>
      </c>
      <c r="I77" s="18">
        <f>I78+I79+I80+I81</f>
        <v>0</v>
      </c>
      <c r="J77" s="18">
        <f>J78+J79+J80+J81</f>
        <v>0</v>
      </c>
      <c r="K77" s="18"/>
      <c r="L77" s="6">
        <f>L78+L79+L80+L81</f>
        <v>0</v>
      </c>
      <c r="M77" s="6"/>
      <c r="N77" s="6">
        <f>N78+N79+N80+N81</f>
        <v>0</v>
      </c>
      <c r="O77" s="6"/>
      <c r="P77" s="6">
        <f>P78+P79+P80+P81</f>
        <v>0</v>
      </c>
      <c r="Q77" s="6">
        <f>Q78+Q79+Q80+Q81</f>
        <v>0</v>
      </c>
      <c r="R77" s="54">
        <f t="shared" si="4"/>
        <v>0</v>
      </c>
      <c r="U77" s="71"/>
    </row>
    <row r="78" spans="1:21" ht="20.25" hidden="1">
      <c r="A78" s="174"/>
      <c r="B78" s="177"/>
      <c r="C78" s="72" t="s">
        <v>2</v>
      </c>
      <c r="D78" s="11">
        <v>0</v>
      </c>
      <c r="E78" s="11">
        <v>0</v>
      </c>
      <c r="F78" s="11">
        <v>0</v>
      </c>
      <c r="G78" s="73">
        <v>0</v>
      </c>
      <c r="H78" s="67">
        <f t="shared" si="3"/>
        <v>0</v>
      </c>
      <c r="I78" s="13">
        <v>0</v>
      </c>
      <c r="J78" s="11">
        <v>0</v>
      </c>
      <c r="K78" s="11"/>
      <c r="L78" s="11">
        <v>0</v>
      </c>
      <c r="M78" s="11"/>
      <c r="N78" s="11">
        <v>0</v>
      </c>
      <c r="O78" s="11"/>
      <c r="P78" s="11">
        <v>0</v>
      </c>
      <c r="Q78" s="11">
        <v>0</v>
      </c>
      <c r="R78" s="54">
        <f t="shared" si="4"/>
        <v>0</v>
      </c>
      <c r="U78" s="76"/>
    </row>
    <row r="79" spans="1:21" ht="20.25" hidden="1">
      <c r="A79" s="174"/>
      <c r="B79" s="177"/>
      <c r="C79" s="72" t="s">
        <v>3</v>
      </c>
      <c r="D79" s="11">
        <v>0</v>
      </c>
      <c r="E79" s="11">
        <v>3129.5</v>
      </c>
      <c r="F79" s="11">
        <v>248</v>
      </c>
      <c r="G79" s="73">
        <v>0</v>
      </c>
      <c r="H79" s="67">
        <f t="shared" si="3"/>
        <v>-248</v>
      </c>
      <c r="I79" s="11"/>
      <c r="J79" s="11">
        <v>0</v>
      </c>
      <c r="K79" s="11"/>
      <c r="L79" s="11">
        <v>0</v>
      </c>
      <c r="M79" s="11"/>
      <c r="N79" s="11">
        <v>0</v>
      </c>
      <c r="O79" s="11"/>
      <c r="P79" s="11">
        <v>0</v>
      </c>
      <c r="Q79" s="11">
        <v>0</v>
      </c>
      <c r="R79" s="54">
        <f t="shared" si="4"/>
        <v>0</v>
      </c>
      <c r="U79" s="76"/>
    </row>
    <row r="80" spans="1:21" ht="20.25" hidden="1">
      <c r="A80" s="174"/>
      <c r="B80" s="177"/>
      <c r="C80" s="72" t="s">
        <v>9</v>
      </c>
      <c r="D80" s="11">
        <v>0</v>
      </c>
      <c r="E80" s="11">
        <v>12157.5</v>
      </c>
      <c r="F80" s="11">
        <v>12666.6</v>
      </c>
      <c r="G80" s="73">
        <v>0</v>
      </c>
      <c r="H80" s="67">
        <f t="shared" si="3"/>
        <v>-12666.6</v>
      </c>
      <c r="I80" s="11">
        <v>0</v>
      </c>
      <c r="J80" s="11">
        <v>0</v>
      </c>
      <c r="K80" s="11"/>
      <c r="L80" s="11">
        <v>0</v>
      </c>
      <c r="M80" s="11"/>
      <c r="N80" s="11">
        <v>0</v>
      </c>
      <c r="O80" s="11"/>
      <c r="P80" s="11">
        <v>0</v>
      </c>
      <c r="Q80" s="11">
        <v>0</v>
      </c>
      <c r="R80" s="54">
        <f t="shared" si="4"/>
        <v>0</v>
      </c>
      <c r="U80" s="76"/>
    </row>
    <row r="81" spans="1:21" ht="40.5" hidden="1">
      <c r="A81" s="175"/>
      <c r="B81" s="178"/>
      <c r="C81" s="72" t="s">
        <v>4</v>
      </c>
      <c r="D81" s="11">
        <v>0</v>
      </c>
      <c r="E81" s="11">
        <v>0</v>
      </c>
      <c r="F81" s="11">
        <v>0</v>
      </c>
      <c r="G81" s="73">
        <v>0</v>
      </c>
      <c r="H81" s="67">
        <f>G81-F81</f>
        <v>0</v>
      </c>
      <c r="I81" s="13">
        <v>0</v>
      </c>
      <c r="J81" s="11">
        <v>0</v>
      </c>
      <c r="K81" s="11"/>
      <c r="L81" s="11">
        <v>0</v>
      </c>
      <c r="M81" s="11"/>
      <c r="N81" s="11">
        <v>0</v>
      </c>
      <c r="O81" s="11"/>
      <c r="P81" s="11">
        <v>0</v>
      </c>
      <c r="Q81" s="11">
        <v>0</v>
      </c>
      <c r="R81" s="54">
        <f t="shared" si="4"/>
        <v>0</v>
      </c>
      <c r="U81" s="76"/>
    </row>
    <row r="82" spans="1:21" s="70" customFormat="1" ht="33.75" customHeight="1">
      <c r="A82" s="82" t="s">
        <v>14</v>
      </c>
      <c r="B82" s="173" t="s">
        <v>36</v>
      </c>
      <c r="C82" s="63" t="s">
        <v>6</v>
      </c>
      <c r="D82" s="19">
        <f>D83+D84+D85+D86</f>
        <v>0</v>
      </c>
      <c r="E82" s="83">
        <f>E83+E84+E85+E86</f>
        <v>0</v>
      </c>
      <c r="F82" s="83">
        <f>F83+F84+F85+F86</f>
        <v>0</v>
      </c>
      <c r="G82" s="19">
        <f t="shared" ref="G82:P82" si="5">G83+G84+G85+G86</f>
        <v>0</v>
      </c>
      <c r="H82" s="19">
        <f t="shared" si="5"/>
        <v>0</v>
      </c>
      <c r="I82" s="19">
        <f t="shared" si="5"/>
        <v>0</v>
      </c>
      <c r="J82" s="19">
        <f t="shared" si="5"/>
        <v>0</v>
      </c>
      <c r="K82" s="19">
        <f t="shared" si="5"/>
        <v>0</v>
      </c>
      <c r="L82" s="19">
        <f t="shared" si="5"/>
        <v>1030.5999999999999</v>
      </c>
      <c r="M82" s="19">
        <f t="shared" si="5"/>
        <v>0</v>
      </c>
      <c r="N82" s="19">
        <f t="shared" si="5"/>
        <v>841.6</v>
      </c>
      <c r="O82" s="19">
        <f t="shared" si="5"/>
        <v>0</v>
      </c>
      <c r="P82" s="19">
        <f t="shared" si="5"/>
        <v>0</v>
      </c>
      <c r="Q82" s="19">
        <f>Q83+Q84+Q85+Q86</f>
        <v>0</v>
      </c>
      <c r="R82" s="139">
        <f t="shared" si="4"/>
        <v>1872.1999999999998</v>
      </c>
      <c r="S82" s="85">
        <f>D82+D102</f>
        <v>0</v>
      </c>
      <c r="T82" s="70">
        <f>111152.5+162-72</f>
        <v>111242.5</v>
      </c>
      <c r="U82" s="86"/>
    </row>
    <row r="83" spans="1:21" ht="33.75" customHeight="1">
      <c r="A83" s="126"/>
      <c r="B83" s="174"/>
      <c r="C83" s="72" t="s">
        <v>2</v>
      </c>
      <c r="D83" s="20">
        <v>0</v>
      </c>
      <c r="E83" s="87"/>
      <c r="F83" s="87"/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139">
        <f t="shared" si="4"/>
        <v>0</v>
      </c>
      <c r="S83" s="124">
        <f>145098.6-22936+2792.8</f>
        <v>124955.40000000001</v>
      </c>
      <c r="T83" s="90">
        <f>J82-S83</f>
        <v>-124955.40000000001</v>
      </c>
      <c r="U83" s="76"/>
    </row>
    <row r="84" spans="1:21" ht="33.75" customHeight="1">
      <c r="A84" s="126"/>
      <c r="B84" s="174"/>
      <c r="C84" s="72" t="s">
        <v>3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978.9</v>
      </c>
      <c r="M84" s="20">
        <v>0</v>
      </c>
      <c r="N84" s="20">
        <v>799.5</v>
      </c>
      <c r="O84" s="20">
        <v>0</v>
      </c>
      <c r="P84" s="20">
        <v>0</v>
      </c>
      <c r="Q84" s="20">
        <v>0</v>
      </c>
      <c r="R84" s="139">
        <f t="shared" si="4"/>
        <v>1778.4</v>
      </c>
      <c r="S84" s="37">
        <f>1323+809.6+74085</f>
        <v>76217.600000000006</v>
      </c>
      <c r="T84" s="10"/>
      <c r="U84" s="76"/>
    </row>
    <row r="85" spans="1:21" ht="33.75" customHeight="1">
      <c r="A85" s="126"/>
      <c r="B85" s="174"/>
      <c r="C85" s="72" t="s">
        <v>9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51.7</v>
      </c>
      <c r="M85" s="20">
        <v>0</v>
      </c>
      <c r="N85" s="20">
        <v>42.1</v>
      </c>
      <c r="O85" s="20">
        <v>0</v>
      </c>
      <c r="P85" s="20">
        <v>0</v>
      </c>
      <c r="Q85" s="20">
        <v>0</v>
      </c>
      <c r="R85" s="139">
        <f t="shared" si="4"/>
        <v>93.800000000000011</v>
      </c>
      <c r="S85" s="37">
        <f>17902+971.7</f>
        <v>18873.7</v>
      </c>
      <c r="T85" s="9"/>
      <c r="U85" s="76"/>
    </row>
    <row r="86" spans="1:21" ht="36" customHeight="1">
      <c r="A86" s="127"/>
      <c r="B86" s="175"/>
      <c r="C86" s="72" t="s">
        <v>4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139">
        <f t="shared" si="4"/>
        <v>0</v>
      </c>
      <c r="U86" s="76"/>
    </row>
  </sheetData>
  <mergeCells count="33">
    <mergeCell ref="A77:A81"/>
    <mergeCell ref="B77:B81"/>
    <mergeCell ref="B82:B86"/>
    <mergeCell ref="A62:A66"/>
    <mergeCell ref="B62:B66"/>
    <mergeCell ref="A67:A71"/>
    <mergeCell ref="B67:B71"/>
    <mergeCell ref="A72:A76"/>
    <mergeCell ref="B72:B76"/>
    <mergeCell ref="A47:A51"/>
    <mergeCell ref="B47:B51"/>
    <mergeCell ref="A52:A56"/>
    <mergeCell ref="B52:B56"/>
    <mergeCell ref="A57:A61"/>
    <mergeCell ref="B57:B61"/>
    <mergeCell ref="B27:B31"/>
    <mergeCell ref="B32:B36"/>
    <mergeCell ref="A37:A41"/>
    <mergeCell ref="B37:B41"/>
    <mergeCell ref="A42:A46"/>
    <mergeCell ref="B42:B46"/>
    <mergeCell ref="A12:A16"/>
    <mergeCell ref="B12:B16"/>
    <mergeCell ref="A17:A21"/>
    <mergeCell ref="B17:B21"/>
    <mergeCell ref="A22:A26"/>
    <mergeCell ref="B22:B26"/>
    <mergeCell ref="A3:H3"/>
    <mergeCell ref="A5:A6"/>
    <mergeCell ref="B5:B6"/>
    <mergeCell ref="C5:C6"/>
    <mergeCell ref="A7:A11"/>
    <mergeCell ref="B7:B11"/>
  </mergeCells>
  <pageMargins left="0.31496062992125984" right="0.31496062992125984" top="0.94488188976377963" bottom="0.74803149606299213" header="0.31496062992125984" footer="0.31496062992125984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дума 30.09.19.</vt:lpstr>
      <vt:lpstr>Лист1</vt:lpstr>
      <vt:lpstr>'дума 30.09.19.'!Область_печати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2019-11-01T06:19:09Z</cp:lastPrinted>
  <dcterms:created xsi:type="dcterms:W3CDTF">1996-10-08T23:32:33Z</dcterms:created>
  <dcterms:modified xsi:type="dcterms:W3CDTF">2019-11-07T13:10:04Z</dcterms:modified>
</cp:coreProperties>
</file>